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6" yWindow="1212" windowWidth="11592" windowHeight="5208" activeTab="0"/>
  </bookViews>
  <sheets>
    <sheet name="MES A MES 2014" sheetId="1" r:id="rId1"/>
    <sheet name="Hoja1" sheetId="2" r:id="rId2"/>
    <sheet name="Hoja2" sheetId="3" r:id="rId3"/>
  </sheets>
  <definedNames/>
  <calcPr fullCalcOnLoad="1"/>
</workbook>
</file>

<file path=xl/sharedStrings.xml><?xml version="1.0" encoding="utf-8"?>
<sst xmlns="http://schemas.openxmlformats.org/spreadsheetml/2006/main" count="405" uniqueCount="56">
  <si>
    <t>SSF</t>
  </si>
  <si>
    <t xml:space="preserve">I.- RENTAS PROPIAS </t>
  </si>
  <si>
    <t xml:space="preserve">A. VENTA DE BIENES Y SERVICIOS </t>
  </si>
  <si>
    <t>a.2.- Ingresos de Extension</t>
  </si>
  <si>
    <t>a.1.- Matriculas y Otros Ingresos Academicos</t>
  </si>
  <si>
    <t>B. RECURSOS DE CAPITAL</t>
  </si>
  <si>
    <t>b.1.- Intereses Moratorios</t>
  </si>
  <si>
    <t>b.2.- Rendimientos Financieros</t>
  </si>
  <si>
    <t>b.3.- Recuperacion de Cartera</t>
  </si>
  <si>
    <t xml:space="preserve">b.4.- Intereses de Financiacion </t>
  </si>
  <si>
    <t xml:space="preserve">C. APORTES DE OTROS ENTIDADES </t>
  </si>
  <si>
    <t>2. APORTES DE LA NACION</t>
  </si>
  <si>
    <t>2.1.- Funcionamiento</t>
  </si>
  <si>
    <t xml:space="preserve">TOTAL PRESUPUESTO DE INGRESOS </t>
  </si>
  <si>
    <t>Apropiacion</t>
  </si>
  <si>
    <t xml:space="preserve">Inicial </t>
  </si>
  <si>
    <t xml:space="preserve">Reduccion </t>
  </si>
  <si>
    <t xml:space="preserve">Total </t>
  </si>
  <si>
    <t>Apropiado</t>
  </si>
  <si>
    <t>Total</t>
  </si>
  <si>
    <t>Recaudo</t>
  </si>
  <si>
    <t xml:space="preserve">Detalles </t>
  </si>
  <si>
    <t>%</t>
  </si>
  <si>
    <t>UNIVERSIDAD TECNOLOGICA DEL CHOCO</t>
  </si>
  <si>
    <t>“Diego Luís Córdoba”</t>
  </si>
  <si>
    <t>OFICINA FINANCIERA</t>
  </si>
  <si>
    <t>FECHA: 23/11/10</t>
  </si>
  <si>
    <t>F-FIN- 21</t>
  </si>
  <si>
    <t>VERSIÓN # 1</t>
  </si>
  <si>
    <t xml:space="preserve">c.1.- Convenios  </t>
  </si>
  <si>
    <t xml:space="preserve">MES DE ENERO </t>
  </si>
  <si>
    <t>Adición</t>
  </si>
  <si>
    <t>Trimestre</t>
  </si>
  <si>
    <t>Mes</t>
  </si>
  <si>
    <t>Ingresos  Mes</t>
  </si>
  <si>
    <t>Por Ejec</t>
  </si>
  <si>
    <t>Acumulado</t>
  </si>
  <si>
    <t>Ejec. Mes</t>
  </si>
  <si>
    <t>2.2.- Inversiòn</t>
  </si>
  <si>
    <t>PRIMER TRIMESTRE</t>
  </si>
  <si>
    <t>MES DE ABRIL</t>
  </si>
  <si>
    <t xml:space="preserve">a.3.- Otros Ingresos </t>
  </si>
  <si>
    <t>a.4.- Estampilla Pro- Universitaria</t>
  </si>
  <si>
    <t xml:space="preserve">MES DE FEBRERO </t>
  </si>
  <si>
    <t>MES DE MARZO</t>
  </si>
  <si>
    <t>Ingresos  Trim</t>
  </si>
  <si>
    <t>Ejec. Trim</t>
  </si>
  <si>
    <t>MES DE MAYO</t>
  </si>
  <si>
    <t>MES DE JUNIO</t>
  </si>
  <si>
    <t>SEGUNDO TRIMESTRE</t>
  </si>
  <si>
    <t>MES DE JULIO</t>
  </si>
  <si>
    <t>EJECUCION DE INGRESOS 2014</t>
  </si>
  <si>
    <t>MANUELA GOMEZ CORDOBA</t>
  </si>
  <si>
    <t>Profesinal univ.</t>
  </si>
  <si>
    <t>Profesional Universitario</t>
  </si>
  <si>
    <t>Jefe de presupuesto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</si>
</sst>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 * #,##0.00_ ;_ * \-#,##0.00_ ;_ * &quot;-&quot;??_ ;_ @_ "/>
    <numFmt numFmtId="166" formatCode="_-* #,##0\ _€_-;\-* #,##0\ _€_-;_-* &quot;-&quot;??\ _€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4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5" fillId="0" borderId="0" xfId="0" applyFont="1" applyAlignment="1">
      <alignment/>
    </xf>
    <xf numFmtId="166" fontId="6" fillId="0" borderId="10" xfId="46" applyNumberFormat="1" applyFont="1" applyBorder="1" applyAlignment="1">
      <alignment/>
    </xf>
    <xf numFmtId="166" fontId="5" fillId="0" borderId="10" xfId="46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166" fontId="0" fillId="0" borderId="0" xfId="46" applyNumberFormat="1" applyFont="1" applyAlignment="1">
      <alignment/>
    </xf>
    <xf numFmtId="166" fontId="3" fillId="0" borderId="0" xfId="46" applyNumberFormat="1" applyFont="1" applyFill="1" applyBorder="1" applyAlignment="1">
      <alignment/>
    </xf>
    <xf numFmtId="166" fontId="7" fillId="0" borderId="10" xfId="46" applyNumberFormat="1" applyFont="1" applyBorder="1" applyAlignment="1">
      <alignment/>
    </xf>
    <xf numFmtId="166" fontId="3" fillId="0" borderId="10" xfId="46" applyNumberFormat="1" applyFont="1" applyBorder="1" applyAlignment="1">
      <alignment/>
    </xf>
    <xf numFmtId="166" fontId="4" fillId="0" borderId="10" xfId="46" applyNumberFormat="1" applyFont="1" applyBorder="1" applyAlignment="1">
      <alignment/>
    </xf>
    <xf numFmtId="165" fontId="4" fillId="0" borderId="10" xfId="0" applyNumberFormat="1" applyFont="1" applyBorder="1" applyAlignment="1">
      <alignment horizontal="center"/>
    </xf>
    <xf numFmtId="166" fontId="2" fillId="0" borderId="10" xfId="46" applyNumberFormat="1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66" fontId="3" fillId="0" borderId="0" xfId="46" applyNumberFormat="1" applyFont="1" applyBorder="1" applyAlignment="1">
      <alignment/>
    </xf>
    <xf numFmtId="166" fontId="4" fillId="0" borderId="0" xfId="46" applyNumberFormat="1" applyFont="1" applyBorder="1" applyAlignment="1">
      <alignment/>
    </xf>
    <xf numFmtId="164" fontId="4" fillId="0" borderId="0" xfId="46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6" fontId="45" fillId="0" borderId="10" xfId="46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166" fontId="2" fillId="0" borderId="10" xfId="46" applyNumberFormat="1" applyFont="1" applyBorder="1" applyAlignment="1">
      <alignment horizontal="center"/>
    </xf>
    <xf numFmtId="0" fontId="0" fillId="0" borderId="0" xfId="0" applyFont="1" applyAlignment="1">
      <alignment/>
    </xf>
    <xf numFmtId="166" fontId="5" fillId="0" borderId="10" xfId="46" applyNumberFormat="1" applyFont="1" applyFill="1" applyBorder="1" applyAlignment="1">
      <alignment/>
    </xf>
    <xf numFmtId="3" fontId="46" fillId="0" borderId="0" xfId="0" applyNumberFormat="1" applyFont="1" applyAlignment="1">
      <alignment/>
    </xf>
    <xf numFmtId="164" fontId="2" fillId="0" borderId="10" xfId="46" applyNumberFormat="1" applyFont="1" applyBorder="1" applyAlignment="1">
      <alignment/>
    </xf>
    <xf numFmtId="3" fontId="47" fillId="0" borderId="10" xfId="0" applyNumberFormat="1" applyFont="1" applyBorder="1" applyAlignment="1">
      <alignment horizontal="right" vertical="top" wrapText="1"/>
    </xf>
    <xf numFmtId="166" fontId="2" fillId="0" borderId="0" xfId="46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28575</xdr:rowOff>
    </xdr:from>
    <xdr:to>
      <xdr:col>0</xdr:col>
      <xdr:colOff>1704975</xdr:colOff>
      <xdr:row>4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8575"/>
          <a:ext cx="12763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42</xdr:row>
      <xdr:rowOff>28575</xdr:rowOff>
    </xdr:from>
    <xdr:to>
      <xdr:col>0</xdr:col>
      <xdr:colOff>1704975</xdr:colOff>
      <xdr:row>46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086600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83</xdr:row>
      <xdr:rowOff>28575</xdr:rowOff>
    </xdr:from>
    <xdr:to>
      <xdr:col>0</xdr:col>
      <xdr:colOff>1704975</xdr:colOff>
      <xdr:row>87</xdr:row>
      <xdr:rowOff>9525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4154150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124</xdr:row>
      <xdr:rowOff>28575</xdr:rowOff>
    </xdr:from>
    <xdr:to>
      <xdr:col>0</xdr:col>
      <xdr:colOff>1704975</xdr:colOff>
      <xdr:row>128</xdr:row>
      <xdr:rowOff>9525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1221700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165</xdr:row>
      <xdr:rowOff>28575</xdr:rowOff>
    </xdr:from>
    <xdr:to>
      <xdr:col>0</xdr:col>
      <xdr:colOff>1704975</xdr:colOff>
      <xdr:row>169</xdr:row>
      <xdr:rowOff>9525</xdr:rowOff>
    </xdr:to>
    <xdr:pic>
      <xdr:nvPicPr>
        <xdr:cNvPr id="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8289250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206</xdr:row>
      <xdr:rowOff>28575</xdr:rowOff>
    </xdr:from>
    <xdr:to>
      <xdr:col>0</xdr:col>
      <xdr:colOff>1704975</xdr:colOff>
      <xdr:row>210</xdr:row>
      <xdr:rowOff>9525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5356800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247</xdr:row>
      <xdr:rowOff>28575</xdr:rowOff>
    </xdr:from>
    <xdr:to>
      <xdr:col>0</xdr:col>
      <xdr:colOff>1704975</xdr:colOff>
      <xdr:row>251</xdr:row>
      <xdr:rowOff>9525</xdr:rowOff>
    </xdr:to>
    <xdr:pic>
      <xdr:nvPicPr>
        <xdr:cNvPr id="7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2424350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288</xdr:row>
      <xdr:rowOff>28575</xdr:rowOff>
    </xdr:from>
    <xdr:to>
      <xdr:col>0</xdr:col>
      <xdr:colOff>1704975</xdr:colOff>
      <xdr:row>292</xdr:row>
      <xdr:rowOff>9525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49491900"/>
          <a:ext cx="1276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428625</xdr:colOff>
      <xdr:row>329</xdr:row>
      <xdr:rowOff>28575</xdr:rowOff>
    </xdr:from>
    <xdr:to>
      <xdr:col>0</xdr:col>
      <xdr:colOff>1704975</xdr:colOff>
      <xdr:row>333</xdr:row>
      <xdr:rowOff>9525</xdr:rowOff>
    </xdr:to>
    <xdr:pic>
      <xdr:nvPicPr>
        <xdr:cNvPr id="9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6559450"/>
          <a:ext cx="1276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0"/>
  <sheetViews>
    <sheetView tabSelected="1" zoomScalePageLayoutView="0" workbookViewId="0" topLeftCell="A328">
      <selection activeCell="M344" sqref="M344"/>
    </sheetView>
  </sheetViews>
  <sheetFormatPr defaultColWidth="11.421875" defaultRowHeight="12.75"/>
  <cols>
    <col min="1" max="1" width="38.00390625" style="0" customWidth="1"/>
    <col min="2" max="2" width="14.00390625" style="0" customWidth="1"/>
    <col min="3" max="3" width="14.140625" style="0" customWidth="1"/>
    <col min="4" max="4" width="11.8515625" style="0" customWidth="1"/>
    <col min="5" max="6" width="14.28125" style="0" customWidth="1"/>
    <col min="7" max="7" width="13.421875" style="0" customWidth="1"/>
    <col min="8" max="8" width="14.28125" style="0" customWidth="1"/>
    <col min="9" max="9" width="14.140625" style="0" customWidth="1"/>
    <col min="10" max="10" width="8.8515625" style="0" customWidth="1"/>
    <col min="11" max="11" width="10.7109375" style="0" customWidth="1"/>
    <col min="12" max="12" width="12.8515625" style="0" customWidth="1"/>
    <col min="13" max="13" width="15.140625" style="0" customWidth="1"/>
    <col min="14" max="14" width="13.140625" style="0" customWidth="1"/>
    <col min="16" max="16" width="14.57421875" style="0" customWidth="1"/>
    <col min="17" max="17" width="14.28125" style="0" customWidth="1"/>
    <col min="18" max="18" width="13.00390625" style="0" customWidth="1"/>
    <col min="19" max="19" width="14.7109375" style="0" customWidth="1"/>
    <col min="20" max="20" width="14.57421875" style="0" customWidth="1"/>
    <col min="21" max="21" width="9.7109375" style="0" customWidth="1"/>
    <col min="22" max="22" width="9.8515625" style="0" customWidth="1"/>
  </cols>
  <sheetData>
    <row r="1" spans="1:11" ht="15.75" customHeight="1" thickBot="1">
      <c r="A1" s="16"/>
      <c r="B1" s="47" t="s">
        <v>23</v>
      </c>
      <c r="C1" s="48"/>
      <c r="D1" s="48"/>
      <c r="E1" s="48"/>
      <c r="F1" s="48"/>
      <c r="G1" s="48"/>
      <c r="H1" s="48"/>
      <c r="I1" s="48"/>
      <c r="J1" s="49"/>
      <c r="K1" s="20" t="s">
        <v>27</v>
      </c>
    </row>
    <row r="2" spans="1:11" ht="26.25" customHeight="1" thickBot="1">
      <c r="A2" s="17"/>
      <c r="B2" s="47" t="s">
        <v>24</v>
      </c>
      <c r="C2" s="48"/>
      <c r="D2" s="48"/>
      <c r="E2" s="48"/>
      <c r="F2" s="48"/>
      <c r="G2" s="48"/>
      <c r="H2" s="48"/>
      <c r="I2" s="48"/>
      <c r="J2" s="49"/>
      <c r="K2" s="18" t="s">
        <v>28</v>
      </c>
    </row>
    <row r="3" spans="1:11" ht="15" customHeight="1" thickBot="1">
      <c r="A3" s="17"/>
      <c r="B3" s="47" t="s">
        <v>25</v>
      </c>
      <c r="C3" s="48"/>
      <c r="D3" s="48"/>
      <c r="E3" s="48"/>
      <c r="F3" s="48"/>
      <c r="G3" s="48"/>
      <c r="H3" s="48"/>
      <c r="I3" s="48"/>
      <c r="J3" s="49"/>
      <c r="K3" s="45" t="s">
        <v>26</v>
      </c>
    </row>
    <row r="4" spans="1:11" ht="15.75" customHeight="1" thickBot="1">
      <c r="A4" s="19"/>
      <c r="B4" s="47" t="s">
        <v>51</v>
      </c>
      <c r="C4" s="48"/>
      <c r="D4" s="48"/>
      <c r="E4" s="48"/>
      <c r="F4" s="48"/>
      <c r="G4" s="48"/>
      <c r="H4" s="48"/>
      <c r="I4" s="48"/>
      <c r="J4" s="49"/>
      <c r="K4" s="46"/>
    </row>
    <row r="6" spans="1:11" ht="12.75">
      <c r="A6" s="50" t="s">
        <v>30</v>
      </c>
      <c r="B6" s="50"/>
      <c r="C6" s="50"/>
      <c r="D6" s="50"/>
      <c r="E6" s="50"/>
      <c r="F6" s="50"/>
      <c r="G6" s="50"/>
      <c r="H6" s="50"/>
      <c r="I6" s="50"/>
      <c r="J6" s="50"/>
      <c r="K6" s="30"/>
    </row>
    <row r="7" spans="1:11" ht="12.7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</row>
    <row r="8" ht="12.75" hidden="1"/>
    <row r="9" spans="1:11" ht="13.5">
      <c r="A9" s="51" t="s">
        <v>21</v>
      </c>
      <c r="B9" s="5" t="s">
        <v>14</v>
      </c>
      <c r="C9" s="29" t="s">
        <v>31</v>
      </c>
      <c r="D9" s="5" t="s">
        <v>16</v>
      </c>
      <c r="E9" s="33" t="s">
        <v>17</v>
      </c>
      <c r="F9" s="5" t="s">
        <v>20</v>
      </c>
      <c r="G9" s="35" t="s">
        <v>0</v>
      </c>
      <c r="H9" s="6" t="s">
        <v>19</v>
      </c>
      <c r="I9" s="29" t="s">
        <v>36</v>
      </c>
      <c r="J9" s="5" t="s">
        <v>22</v>
      </c>
      <c r="K9" s="29" t="s">
        <v>22</v>
      </c>
    </row>
    <row r="10" spans="1:11" ht="13.5">
      <c r="A10" s="52"/>
      <c r="B10" s="7" t="s">
        <v>15</v>
      </c>
      <c r="C10" s="7"/>
      <c r="D10" s="7"/>
      <c r="E10" s="34" t="s">
        <v>18</v>
      </c>
      <c r="F10" s="32" t="s">
        <v>33</v>
      </c>
      <c r="G10" s="36" t="s">
        <v>33</v>
      </c>
      <c r="H10" s="32" t="s">
        <v>34</v>
      </c>
      <c r="I10" s="32"/>
      <c r="J10" s="32" t="s">
        <v>37</v>
      </c>
      <c r="K10" s="32" t="s">
        <v>35</v>
      </c>
    </row>
    <row r="11" spans="1:11" ht="13.5">
      <c r="A11" s="2"/>
      <c r="J11" s="31"/>
      <c r="K11" s="31"/>
    </row>
    <row r="12" spans="1:11" ht="13.5">
      <c r="A12" s="3" t="s">
        <v>1</v>
      </c>
      <c r="B12" s="12">
        <f aca="true" t="shared" si="0" ref="B12:I12">B13+B18</f>
        <v>17212816851</v>
      </c>
      <c r="C12" s="12">
        <f t="shared" si="0"/>
        <v>0</v>
      </c>
      <c r="D12" s="12">
        <f t="shared" si="0"/>
        <v>0</v>
      </c>
      <c r="E12" s="12">
        <f t="shared" si="0"/>
        <v>17212816851</v>
      </c>
      <c r="F12" s="12">
        <f t="shared" si="0"/>
        <v>1113014062</v>
      </c>
      <c r="G12" s="12">
        <f t="shared" si="0"/>
        <v>568810589</v>
      </c>
      <c r="H12" s="12">
        <f t="shared" si="0"/>
        <v>1681824651</v>
      </c>
      <c r="I12" s="12">
        <f t="shared" si="0"/>
        <v>1681824651</v>
      </c>
      <c r="J12" s="13">
        <f aca="true" t="shared" si="1" ref="J12:J18">(H12/E12)*100</f>
        <v>9.770769453706771</v>
      </c>
      <c r="K12" s="13">
        <f aca="true" t="shared" si="2" ref="K12:K18">((E12-I12)/E12)*100</f>
        <v>90.22923054629322</v>
      </c>
    </row>
    <row r="13" spans="1:11" ht="12.75">
      <c r="A13" s="11" t="s">
        <v>2</v>
      </c>
      <c r="B13" s="12">
        <f aca="true" t="shared" si="3" ref="B13:I13">B14+B15+B17+B16</f>
        <v>16534172546</v>
      </c>
      <c r="C13" s="12">
        <f t="shared" si="3"/>
        <v>0</v>
      </c>
      <c r="D13" s="12">
        <f t="shared" si="3"/>
        <v>0</v>
      </c>
      <c r="E13" s="12">
        <f t="shared" si="3"/>
        <v>16534172546</v>
      </c>
      <c r="F13" s="12">
        <f t="shared" si="3"/>
        <v>1073941502</v>
      </c>
      <c r="G13" s="12">
        <f t="shared" si="3"/>
        <v>564535882</v>
      </c>
      <c r="H13" s="12">
        <f t="shared" si="3"/>
        <v>1638477384</v>
      </c>
      <c r="I13" s="12">
        <f t="shared" si="3"/>
        <v>1638477384</v>
      </c>
      <c r="J13" s="13">
        <f t="shared" si="1"/>
        <v>9.909642465878257</v>
      </c>
      <c r="K13" s="13">
        <f t="shared" si="2"/>
        <v>90.09035753412175</v>
      </c>
    </row>
    <row r="14" spans="1:11" ht="12.75">
      <c r="A14" s="10" t="s">
        <v>4</v>
      </c>
      <c r="B14" s="14">
        <v>13673580139</v>
      </c>
      <c r="C14" s="14"/>
      <c r="D14" s="14"/>
      <c r="E14" s="14">
        <f>B14+C14-D14</f>
        <v>13673580139</v>
      </c>
      <c r="F14" s="14">
        <v>678252323</v>
      </c>
      <c r="G14" s="14">
        <f>540149489+11878560</f>
        <v>552028049</v>
      </c>
      <c r="H14" s="14">
        <f>F14+G14</f>
        <v>1230280372</v>
      </c>
      <c r="I14" s="37">
        <f>H14</f>
        <v>1230280372</v>
      </c>
      <c r="J14" s="15">
        <f t="shared" si="1"/>
        <v>8.997499992638906</v>
      </c>
      <c r="K14" s="15">
        <f t="shared" si="2"/>
        <v>91.00250000736109</v>
      </c>
    </row>
    <row r="15" spans="1:11" ht="13.5">
      <c r="A15" s="4" t="s">
        <v>3</v>
      </c>
      <c r="B15" s="14">
        <v>607692600</v>
      </c>
      <c r="C15" s="14"/>
      <c r="D15" s="14"/>
      <c r="E15" s="14">
        <f>B15+C15-D15</f>
        <v>607692600</v>
      </c>
      <c r="F15" s="14">
        <v>27008113</v>
      </c>
      <c r="G15" s="14"/>
      <c r="H15" s="14">
        <f>F15+G15</f>
        <v>27008113</v>
      </c>
      <c r="I15" s="37">
        <f>H15</f>
        <v>27008113</v>
      </c>
      <c r="J15" s="15">
        <f t="shared" si="1"/>
        <v>4.444370887517801</v>
      </c>
      <c r="K15" s="15">
        <f t="shared" si="2"/>
        <v>95.5556291124822</v>
      </c>
    </row>
    <row r="16" spans="1:11" ht="13.5">
      <c r="A16" s="4" t="s">
        <v>41</v>
      </c>
      <c r="B16" s="14">
        <v>16300368</v>
      </c>
      <c r="C16" s="14"/>
      <c r="D16" s="14"/>
      <c r="E16" s="14">
        <f>B16+C16-D16</f>
        <v>16300368</v>
      </c>
      <c r="F16" s="14">
        <f>344000+3600+4335973</f>
        <v>4683573</v>
      </c>
      <c r="G16" s="14">
        <f>600000+1500000+9657833+750000</f>
        <v>12507833</v>
      </c>
      <c r="H16" s="14">
        <f>F16+G16</f>
        <v>17191406</v>
      </c>
      <c r="I16" s="37">
        <f>H16</f>
        <v>17191406</v>
      </c>
      <c r="J16" s="15">
        <f>(H16/E16)*100</f>
        <v>105.46636738507988</v>
      </c>
      <c r="K16" s="15">
        <f>((E16-I16)/E16)*100</f>
        <v>-5.466367385079895</v>
      </c>
    </row>
    <row r="17" spans="1:11" ht="13.5">
      <c r="A17" s="4" t="s">
        <v>42</v>
      </c>
      <c r="B17" s="14">
        <v>2236599439</v>
      </c>
      <c r="C17" s="14"/>
      <c r="D17" s="14"/>
      <c r="E17" s="14">
        <f>B17+C17-D17</f>
        <v>2236599439</v>
      </c>
      <c r="F17" s="14">
        <v>363997493</v>
      </c>
      <c r="G17" s="14"/>
      <c r="H17" s="14">
        <f>F17+G17</f>
        <v>363997493</v>
      </c>
      <c r="I17" s="37">
        <f>H17</f>
        <v>363997493</v>
      </c>
      <c r="J17" s="15">
        <f>(H17/E17)*100</f>
        <v>16.274594666032193</v>
      </c>
      <c r="K17" s="15">
        <f>((E17-I17)/E17)*100</f>
        <v>83.7254053339678</v>
      </c>
    </row>
    <row r="18" spans="1:11" ht="12.75">
      <c r="A18" s="11" t="s">
        <v>5</v>
      </c>
      <c r="B18" s="12">
        <f aca="true" t="shared" si="4" ref="B18:I18">B19+B20+B21+B22</f>
        <v>678644305</v>
      </c>
      <c r="C18" s="12">
        <f t="shared" si="4"/>
        <v>0</v>
      </c>
      <c r="D18" s="12">
        <f t="shared" si="4"/>
        <v>0</v>
      </c>
      <c r="E18" s="12">
        <f t="shared" si="4"/>
        <v>678644305</v>
      </c>
      <c r="F18" s="12">
        <f t="shared" si="4"/>
        <v>39072560</v>
      </c>
      <c r="G18" s="12">
        <f t="shared" si="4"/>
        <v>4274707</v>
      </c>
      <c r="H18" s="12">
        <f t="shared" si="4"/>
        <v>43347267</v>
      </c>
      <c r="I18" s="12">
        <f t="shared" si="4"/>
        <v>43347267</v>
      </c>
      <c r="J18" s="13">
        <f t="shared" si="1"/>
        <v>6.38733231541669</v>
      </c>
      <c r="K18" s="13">
        <f t="shared" si="2"/>
        <v>93.6126676845833</v>
      </c>
    </row>
    <row r="19" spans="1:11" ht="13.5">
      <c r="A19" s="4" t="s">
        <v>6</v>
      </c>
      <c r="B19" s="14">
        <v>51567683</v>
      </c>
      <c r="C19" s="14"/>
      <c r="D19" s="14"/>
      <c r="E19" s="14">
        <f>B19+C19-D19</f>
        <v>51567683</v>
      </c>
      <c r="F19" s="14">
        <v>2507629</v>
      </c>
      <c r="G19" s="14">
        <v>1780409</v>
      </c>
      <c r="H19" s="14">
        <f>F19+G19</f>
        <v>4288038</v>
      </c>
      <c r="I19" s="37">
        <f>H19</f>
        <v>4288038</v>
      </c>
      <c r="J19" s="15">
        <f aca="true" t="shared" si="5" ref="J19:J28">(H19/E19)*100</f>
        <v>8.315359059277494</v>
      </c>
      <c r="K19" s="15">
        <f aca="true" t="shared" si="6" ref="K19:K27">((E19-I19)/E19)*100</f>
        <v>91.6846409407225</v>
      </c>
    </row>
    <row r="20" spans="1:11" ht="13.5">
      <c r="A20" s="4" t="s">
        <v>7</v>
      </c>
      <c r="B20" s="14">
        <v>3164642</v>
      </c>
      <c r="C20" s="14"/>
      <c r="D20" s="14"/>
      <c r="E20" s="14">
        <f>B20+C20-D20</f>
        <v>3164642</v>
      </c>
      <c r="F20" s="14">
        <v>11210054</v>
      </c>
      <c r="G20" s="14"/>
      <c r="H20" s="14">
        <f>F20+G20</f>
        <v>11210054</v>
      </c>
      <c r="I20" s="37">
        <f>H20</f>
        <v>11210054</v>
      </c>
      <c r="J20" s="15">
        <f t="shared" si="5"/>
        <v>354.22818758014336</v>
      </c>
      <c r="K20" s="15">
        <f t="shared" si="6"/>
        <v>-254.22818758014336</v>
      </c>
    </row>
    <row r="21" spans="1:11" ht="13.5">
      <c r="A21" s="4" t="s">
        <v>8</v>
      </c>
      <c r="B21" s="14">
        <v>620146636</v>
      </c>
      <c r="C21" s="14"/>
      <c r="D21" s="14"/>
      <c r="E21" s="14">
        <f>B21+C21-D21</f>
        <v>620146636</v>
      </c>
      <c r="F21" s="14">
        <f>15739154+1632096+7514886</f>
        <v>24886136</v>
      </c>
      <c r="G21" s="14">
        <v>2469022</v>
      </c>
      <c r="H21" s="14">
        <f>F21+G21</f>
        <v>27355158</v>
      </c>
      <c r="I21" s="37">
        <f>H21</f>
        <v>27355158</v>
      </c>
      <c r="J21" s="15">
        <f t="shared" si="5"/>
        <v>4.411078995194292</v>
      </c>
      <c r="K21" s="15">
        <f t="shared" si="6"/>
        <v>95.5889210048057</v>
      </c>
    </row>
    <row r="22" spans="1:11" ht="13.5">
      <c r="A22" s="4" t="s">
        <v>9</v>
      </c>
      <c r="B22" s="14">
        <v>3765344</v>
      </c>
      <c r="C22" s="14"/>
      <c r="D22" s="14"/>
      <c r="E22" s="14">
        <f>B22+C22-D22</f>
        <v>3765344</v>
      </c>
      <c r="F22" s="14">
        <v>468741</v>
      </c>
      <c r="G22" s="14">
        <v>25276</v>
      </c>
      <c r="H22" s="14">
        <f>F22+G22</f>
        <v>494017</v>
      </c>
      <c r="I22" s="37">
        <f>H22</f>
        <v>494017</v>
      </c>
      <c r="J22" s="15">
        <f t="shared" si="5"/>
        <v>13.120102705091488</v>
      </c>
      <c r="K22" s="15">
        <f t="shared" si="6"/>
        <v>86.87989729490852</v>
      </c>
    </row>
    <row r="23" spans="1:11" ht="12.75">
      <c r="A23" s="11" t="s">
        <v>10</v>
      </c>
      <c r="B23" s="12">
        <f aca="true" t="shared" si="7" ref="B23:I23">B24</f>
        <v>12357111871</v>
      </c>
      <c r="C23" s="12">
        <f t="shared" si="7"/>
        <v>938741391</v>
      </c>
      <c r="D23" s="12">
        <f t="shared" si="7"/>
        <v>0</v>
      </c>
      <c r="E23" s="12">
        <f t="shared" si="7"/>
        <v>13295853262</v>
      </c>
      <c r="F23" s="12">
        <f t="shared" si="7"/>
        <v>0</v>
      </c>
      <c r="G23" s="12">
        <f t="shared" si="7"/>
        <v>0</v>
      </c>
      <c r="H23" s="12">
        <f t="shared" si="7"/>
        <v>0</v>
      </c>
      <c r="I23" s="12">
        <f t="shared" si="7"/>
        <v>0</v>
      </c>
      <c r="J23" s="13">
        <f t="shared" si="5"/>
        <v>0</v>
      </c>
      <c r="K23" s="13">
        <f>((E23-I23)/E23)*100</f>
        <v>100</v>
      </c>
    </row>
    <row r="24" spans="1:11" ht="13.5">
      <c r="A24" s="4" t="s">
        <v>29</v>
      </c>
      <c r="B24" s="14">
        <v>12357111871</v>
      </c>
      <c r="C24" s="14">
        <v>938741391</v>
      </c>
      <c r="D24" s="25"/>
      <c r="E24" s="14">
        <f>B24+C24-D24</f>
        <v>13295853262</v>
      </c>
      <c r="F24" s="14">
        <v>0</v>
      </c>
      <c r="G24" s="14"/>
      <c r="H24" s="14">
        <f>F24+G24</f>
        <v>0</v>
      </c>
      <c r="I24" s="37">
        <f>H24</f>
        <v>0</v>
      </c>
      <c r="J24" s="15">
        <f t="shared" si="5"/>
        <v>0</v>
      </c>
      <c r="K24" s="15">
        <f t="shared" si="6"/>
        <v>100</v>
      </c>
    </row>
    <row r="25" spans="1:11" ht="12.75">
      <c r="A25" s="11" t="s">
        <v>11</v>
      </c>
      <c r="B25" s="12">
        <f aca="true" t="shared" si="8" ref="B25:I25">B26+B27</f>
        <v>47423075480</v>
      </c>
      <c r="C25" s="12">
        <f t="shared" si="8"/>
        <v>0</v>
      </c>
      <c r="D25" s="12">
        <f t="shared" si="8"/>
        <v>0</v>
      </c>
      <c r="E25" s="12">
        <f t="shared" si="8"/>
        <v>47423075480</v>
      </c>
      <c r="F25" s="12">
        <f t="shared" si="8"/>
        <v>2997601627</v>
      </c>
      <c r="G25" s="12">
        <f t="shared" si="8"/>
        <v>0</v>
      </c>
      <c r="H25" s="12">
        <f t="shared" si="8"/>
        <v>2997601627</v>
      </c>
      <c r="I25" s="12">
        <f t="shared" si="8"/>
        <v>2997601627</v>
      </c>
      <c r="J25" s="12">
        <f t="shared" si="5"/>
        <v>6.320976859175224</v>
      </c>
      <c r="K25" s="12">
        <f>((E25-I25)/E25)*100</f>
        <v>93.67902314082478</v>
      </c>
    </row>
    <row r="26" spans="1:11" ht="13.5">
      <c r="A26" s="4" t="s">
        <v>12</v>
      </c>
      <c r="B26" s="14">
        <v>41477999610</v>
      </c>
      <c r="C26" s="14"/>
      <c r="D26" s="14"/>
      <c r="E26" s="14">
        <f>B26+C26-D26</f>
        <v>41477999610</v>
      </c>
      <c r="F26" s="14">
        <v>2997601627</v>
      </c>
      <c r="G26" s="14"/>
      <c r="H26" s="14">
        <f>F26+G26</f>
        <v>2997601627</v>
      </c>
      <c r="I26" s="37">
        <f>H26</f>
        <v>2997601627</v>
      </c>
      <c r="J26" s="15">
        <f t="shared" si="5"/>
        <v>7.226967682109008</v>
      </c>
      <c r="K26" s="15">
        <f t="shared" si="6"/>
        <v>92.773032317891</v>
      </c>
    </row>
    <row r="27" spans="1:11" ht="13.5">
      <c r="A27" s="39" t="s">
        <v>38</v>
      </c>
      <c r="B27" s="26">
        <v>5945075870</v>
      </c>
      <c r="C27" s="14"/>
      <c r="D27" s="14"/>
      <c r="E27" s="14">
        <f>B27+C27-D27</f>
        <v>5945075870</v>
      </c>
      <c r="F27" s="14"/>
      <c r="G27" s="14"/>
      <c r="H27" s="14">
        <f>F27+G27</f>
        <v>0</v>
      </c>
      <c r="I27" s="37">
        <f>H27</f>
        <v>0</v>
      </c>
      <c r="J27" s="15">
        <f t="shared" si="5"/>
        <v>0</v>
      </c>
      <c r="K27" s="15">
        <f t="shared" si="6"/>
        <v>100</v>
      </c>
    </row>
    <row r="28" spans="1:11" ht="12.75">
      <c r="A28" s="11" t="s">
        <v>13</v>
      </c>
      <c r="B28" s="12">
        <f>B12+B23+B25</f>
        <v>76993004202</v>
      </c>
      <c r="C28" s="12">
        <f>C25++C23+C12</f>
        <v>938741391</v>
      </c>
      <c r="D28" s="12">
        <f>D25++D23+D12</f>
        <v>0</v>
      </c>
      <c r="E28" s="12">
        <f>E25+E23+E12</f>
        <v>77931745593</v>
      </c>
      <c r="F28" s="12">
        <f>F25+F23+F12</f>
        <v>4110615689</v>
      </c>
      <c r="G28" s="12">
        <f>G25+G23+G12</f>
        <v>568810589</v>
      </c>
      <c r="H28" s="12">
        <f>H25+H23+H12</f>
        <v>4679426278</v>
      </c>
      <c r="I28" s="12">
        <f>I25+I23+I12</f>
        <v>4679426278</v>
      </c>
      <c r="J28" s="13">
        <f t="shared" si="5"/>
        <v>6.004518752137789</v>
      </c>
      <c r="K28" s="13">
        <f>((E28-I28)/E28)*100</f>
        <v>93.99548124786222</v>
      </c>
    </row>
    <row r="29" spans="1:11" ht="12.75">
      <c r="A29" s="21"/>
      <c r="B29" s="22"/>
      <c r="C29" s="22"/>
      <c r="D29" s="22"/>
      <c r="E29" s="22"/>
      <c r="F29" s="22"/>
      <c r="G29" s="22"/>
      <c r="H29" s="22"/>
      <c r="I29" s="23"/>
      <c r="J29" s="24"/>
      <c r="K29" s="24"/>
    </row>
    <row r="30" spans="1:11" ht="12.75">
      <c r="A30" s="21"/>
      <c r="B30" s="22"/>
      <c r="C30" s="22"/>
      <c r="D30" s="22"/>
      <c r="E30" s="22"/>
      <c r="F30" s="22"/>
      <c r="G30" s="22"/>
      <c r="H30" s="22"/>
      <c r="I30" s="23"/>
      <c r="J30" s="24"/>
      <c r="K30" s="24"/>
    </row>
    <row r="31" spans="2:12" ht="12.75">
      <c r="B31" s="22"/>
      <c r="C31" s="22"/>
      <c r="D31" s="22"/>
      <c r="E31" s="22"/>
      <c r="F31" s="22"/>
      <c r="G31" s="22"/>
      <c r="H31" s="22"/>
      <c r="I31" s="23"/>
      <c r="J31" s="24"/>
      <c r="K31" s="24"/>
      <c r="L31" s="1"/>
    </row>
    <row r="32" spans="2:12" ht="12.75">
      <c r="B32" s="27"/>
      <c r="L32" s="1"/>
    </row>
    <row r="33" spans="2:8" ht="12.75">
      <c r="B33" s="27"/>
      <c r="E33" s="27"/>
      <c r="H33" s="8"/>
    </row>
    <row r="34" spans="2:8" ht="12.75">
      <c r="B34" s="27"/>
      <c r="E34" s="27"/>
      <c r="F34" s="1"/>
      <c r="H34" s="8"/>
    </row>
    <row r="35" spans="2:8" ht="12.75">
      <c r="B35" s="27"/>
      <c r="E35" s="27"/>
      <c r="F35" s="1"/>
      <c r="H35" s="8"/>
    </row>
    <row r="36" spans="1:8" ht="12.75">
      <c r="A36" s="9" t="s">
        <v>52</v>
      </c>
      <c r="B36" s="27"/>
      <c r="E36" s="27"/>
      <c r="F36" s="1"/>
      <c r="H36" s="8"/>
    </row>
    <row r="37" spans="1:8" ht="12.75">
      <c r="A37" t="s">
        <v>53</v>
      </c>
      <c r="B37" s="27"/>
      <c r="E37" s="27"/>
      <c r="F37" s="1"/>
      <c r="H37" s="8"/>
    </row>
    <row r="38" spans="2:8" ht="12.75">
      <c r="B38" s="27"/>
      <c r="E38" s="27"/>
      <c r="F38" s="1"/>
      <c r="H38" s="8"/>
    </row>
    <row r="39" spans="2:8" ht="12.75">
      <c r="B39" s="27"/>
      <c r="E39" s="27"/>
      <c r="F39" s="1"/>
      <c r="H39" s="8"/>
    </row>
    <row r="40" spans="2:8" ht="12.75">
      <c r="B40" s="27"/>
      <c r="F40" s="1"/>
      <c r="H40" s="8"/>
    </row>
    <row r="41" spans="2:8" ht="12.75">
      <c r="B41" s="27"/>
      <c r="F41" s="1"/>
      <c r="H41" s="8"/>
    </row>
    <row r="42" spans="2:8" ht="13.5" thickBot="1">
      <c r="B42" s="27"/>
      <c r="F42" s="1"/>
      <c r="H42" s="8"/>
    </row>
    <row r="43" spans="1:11" ht="15.75" customHeight="1" thickBot="1">
      <c r="A43" s="16"/>
      <c r="B43" s="47" t="s">
        <v>23</v>
      </c>
      <c r="C43" s="48"/>
      <c r="D43" s="48"/>
      <c r="E43" s="48"/>
      <c r="F43" s="48"/>
      <c r="G43" s="48"/>
      <c r="H43" s="48"/>
      <c r="I43" s="48"/>
      <c r="J43" s="49"/>
      <c r="K43" s="20" t="s">
        <v>27</v>
      </c>
    </row>
    <row r="44" spans="1:11" ht="26.25" customHeight="1" thickBot="1">
      <c r="A44" s="17"/>
      <c r="B44" s="47" t="s">
        <v>24</v>
      </c>
      <c r="C44" s="48"/>
      <c r="D44" s="48"/>
      <c r="E44" s="48"/>
      <c r="F44" s="48"/>
      <c r="G44" s="48"/>
      <c r="H44" s="48"/>
      <c r="I44" s="48"/>
      <c r="J44" s="49"/>
      <c r="K44" s="18" t="s">
        <v>28</v>
      </c>
    </row>
    <row r="45" spans="1:11" ht="15.75" customHeight="1" thickBot="1">
      <c r="A45" s="17"/>
      <c r="B45" s="47" t="s">
        <v>25</v>
      </c>
      <c r="C45" s="48"/>
      <c r="D45" s="48"/>
      <c r="E45" s="48"/>
      <c r="F45" s="48"/>
      <c r="G45" s="48"/>
      <c r="H45" s="48"/>
      <c r="I45" s="48"/>
      <c r="J45" s="49"/>
      <c r="K45" s="45" t="s">
        <v>26</v>
      </c>
    </row>
    <row r="46" spans="1:11" ht="15.75" customHeight="1" thickBot="1">
      <c r="A46" s="19"/>
      <c r="B46" s="47" t="s">
        <v>51</v>
      </c>
      <c r="C46" s="48"/>
      <c r="D46" s="48"/>
      <c r="E46" s="48"/>
      <c r="F46" s="48"/>
      <c r="G46" s="48"/>
      <c r="H46" s="48"/>
      <c r="I46" s="48"/>
      <c r="J46" s="49"/>
      <c r="K46" s="46"/>
    </row>
    <row r="48" spans="1:11" ht="12.75">
      <c r="A48" s="50" t="s">
        <v>43</v>
      </c>
      <c r="B48" s="50"/>
      <c r="C48" s="50"/>
      <c r="D48" s="50"/>
      <c r="E48" s="50"/>
      <c r="F48" s="50"/>
      <c r="G48" s="50"/>
      <c r="H48" s="50"/>
      <c r="I48" s="50"/>
      <c r="J48" s="50"/>
      <c r="K48" s="30"/>
    </row>
    <row r="49" spans="1:11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1" spans="1:11" ht="13.5">
      <c r="A51" s="51" t="s">
        <v>21</v>
      </c>
      <c r="B51" s="5" t="s">
        <v>14</v>
      </c>
      <c r="C51" s="29" t="s">
        <v>31</v>
      </c>
      <c r="D51" s="5" t="s">
        <v>16</v>
      </c>
      <c r="E51" s="33" t="s">
        <v>17</v>
      </c>
      <c r="F51" s="5" t="s">
        <v>20</v>
      </c>
      <c r="G51" s="35" t="s">
        <v>0</v>
      </c>
      <c r="H51" s="6" t="s">
        <v>19</v>
      </c>
      <c r="I51" s="29" t="s">
        <v>36</v>
      </c>
      <c r="J51" s="5" t="s">
        <v>22</v>
      </c>
      <c r="K51" s="29" t="s">
        <v>22</v>
      </c>
    </row>
    <row r="52" spans="1:11" ht="13.5">
      <c r="A52" s="52"/>
      <c r="B52" s="7" t="s">
        <v>15</v>
      </c>
      <c r="C52" s="7"/>
      <c r="D52" s="7"/>
      <c r="E52" s="34" t="s">
        <v>18</v>
      </c>
      <c r="F52" s="32" t="s">
        <v>33</v>
      </c>
      <c r="G52" s="36" t="s">
        <v>33</v>
      </c>
      <c r="H52" s="32" t="s">
        <v>34</v>
      </c>
      <c r="I52" s="32"/>
      <c r="J52" s="32" t="s">
        <v>37</v>
      </c>
      <c r="K52" s="32" t="s">
        <v>35</v>
      </c>
    </row>
    <row r="53" spans="1:11" ht="13.5">
      <c r="A53" s="2"/>
      <c r="J53" s="31"/>
      <c r="K53" s="31"/>
    </row>
    <row r="54" spans="1:11" ht="13.5">
      <c r="A54" s="3" t="s">
        <v>1</v>
      </c>
      <c r="B54" s="12">
        <f aca="true" t="shared" si="9" ref="B54:I54">B55+B60</f>
        <v>17212816851</v>
      </c>
      <c r="C54" s="12">
        <f t="shared" si="9"/>
        <v>0</v>
      </c>
      <c r="D54" s="12">
        <f t="shared" si="9"/>
        <v>0</v>
      </c>
      <c r="E54" s="12">
        <f t="shared" si="9"/>
        <v>17212816851</v>
      </c>
      <c r="F54" s="12">
        <f t="shared" si="9"/>
        <v>591544508</v>
      </c>
      <c r="G54" s="12">
        <f t="shared" si="9"/>
        <v>45711989</v>
      </c>
      <c r="H54" s="12">
        <f t="shared" si="9"/>
        <v>637256497</v>
      </c>
      <c r="I54" s="12">
        <f t="shared" si="9"/>
        <v>2319081148</v>
      </c>
      <c r="J54" s="13">
        <f aca="true" t="shared" si="10" ref="J54:J70">(H54/E54)*100</f>
        <v>3.7022208655114914</v>
      </c>
      <c r="K54" s="13">
        <f aca="true" t="shared" si="11" ref="K54:K70">((E54-I54)/E54)*100</f>
        <v>86.52700968078175</v>
      </c>
    </row>
    <row r="55" spans="1:11" ht="12.75">
      <c r="A55" s="11" t="s">
        <v>2</v>
      </c>
      <c r="B55" s="12">
        <f>B56+B57+B59+B58</f>
        <v>16534172546</v>
      </c>
      <c r="C55" s="12">
        <f aca="true" t="shared" si="12" ref="C55:I55">C56+C57+C59+C58</f>
        <v>0</v>
      </c>
      <c r="D55" s="12">
        <f t="shared" si="12"/>
        <v>0</v>
      </c>
      <c r="E55" s="12">
        <f t="shared" si="12"/>
        <v>16534172546</v>
      </c>
      <c r="F55" s="12">
        <f t="shared" si="12"/>
        <v>559748666</v>
      </c>
      <c r="G55" s="12">
        <f t="shared" si="12"/>
        <v>45673646</v>
      </c>
      <c r="H55" s="12">
        <f t="shared" si="12"/>
        <v>605422312</v>
      </c>
      <c r="I55" s="12">
        <f t="shared" si="12"/>
        <v>2243899696</v>
      </c>
      <c r="J55" s="13">
        <f t="shared" si="10"/>
        <v>3.661642639301389</v>
      </c>
      <c r="K55" s="13">
        <f t="shared" si="11"/>
        <v>86.42871489482036</v>
      </c>
    </row>
    <row r="56" spans="1:11" ht="12.75">
      <c r="A56" s="10" t="s">
        <v>4</v>
      </c>
      <c r="B56" s="14">
        <v>13673580139</v>
      </c>
      <c r="C56" s="14"/>
      <c r="D56" s="14"/>
      <c r="E56" s="14">
        <f>B56+C56-D56</f>
        <v>13673580139</v>
      </c>
      <c r="F56" s="14">
        <v>321112612</v>
      </c>
      <c r="G56" s="14">
        <f>18135979+6986960</f>
        <v>25122939</v>
      </c>
      <c r="H56" s="14">
        <f>F56+G56</f>
        <v>346235551</v>
      </c>
      <c r="I56" s="37">
        <f>H56+1230280372</f>
        <v>1576515923</v>
      </c>
      <c r="J56" s="15">
        <f t="shared" si="10"/>
        <v>2.5321499379117363</v>
      </c>
      <c r="K56" s="15">
        <f t="shared" si="11"/>
        <v>88.47035006944935</v>
      </c>
    </row>
    <row r="57" spans="1:11" ht="13.5">
      <c r="A57" s="4" t="s">
        <v>3</v>
      </c>
      <c r="B57" s="14">
        <v>607692600</v>
      </c>
      <c r="C57" s="14"/>
      <c r="D57" s="14"/>
      <c r="E57" s="14">
        <f>B57+C57-D57</f>
        <v>607692600</v>
      </c>
      <c r="F57" s="14">
        <v>25747376</v>
      </c>
      <c r="G57" s="14"/>
      <c r="H57" s="14">
        <f>F57+G57</f>
        <v>25747376</v>
      </c>
      <c r="I57" s="37">
        <f>H57+27008113</f>
        <v>52755489</v>
      </c>
      <c r="J57" s="15">
        <f t="shared" si="10"/>
        <v>4.236907936677195</v>
      </c>
      <c r="K57" s="15">
        <f t="shared" si="11"/>
        <v>91.31872117580501</v>
      </c>
    </row>
    <row r="58" spans="1:11" ht="13.5">
      <c r="A58" s="4" t="s">
        <v>41</v>
      </c>
      <c r="B58" s="14">
        <v>16300368</v>
      </c>
      <c r="C58" s="14"/>
      <c r="D58" s="14"/>
      <c r="E58" s="14">
        <f>B58+C58-D58</f>
        <v>16300368</v>
      </c>
      <c r="F58" s="14">
        <f>904000+796081+25000+4194400</f>
        <v>5919481</v>
      </c>
      <c r="G58" s="14">
        <f>3966900+600000+1500000+11933807+1800000+750000</f>
        <v>20550707</v>
      </c>
      <c r="H58" s="14">
        <f>F58+G58</f>
        <v>26470188</v>
      </c>
      <c r="I58" s="37">
        <f>H58+17191406</f>
        <v>43661594</v>
      </c>
      <c r="J58" s="15">
        <f t="shared" si="10"/>
        <v>162.39012517999595</v>
      </c>
      <c r="K58" s="15">
        <f t="shared" si="11"/>
        <v>-167.85649256507583</v>
      </c>
    </row>
    <row r="59" spans="1:11" ht="13.5">
      <c r="A59" s="4" t="s">
        <v>42</v>
      </c>
      <c r="B59" s="14">
        <v>2236599439</v>
      </c>
      <c r="C59" s="14"/>
      <c r="D59" s="14"/>
      <c r="E59" s="14">
        <f>B59+C59-D59</f>
        <v>2236599439</v>
      </c>
      <c r="F59" s="14">
        <v>206969197</v>
      </c>
      <c r="G59" s="14"/>
      <c r="H59" s="14">
        <f>F59+G59</f>
        <v>206969197</v>
      </c>
      <c r="I59" s="37">
        <f>H59+363997493</f>
        <v>570966690</v>
      </c>
      <c r="J59" s="15">
        <f t="shared" si="10"/>
        <v>9.253744474358692</v>
      </c>
      <c r="K59" s="15">
        <f t="shared" si="11"/>
        <v>74.47166085960912</v>
      </c>
    </row>
    <row r="60" spans="1:11" ht="12.75">
      <c r="A60" s="11" t="s">
        <v>5</v>
      </c>
      <c r="B60" s="12">
        <f>B61+B62+B63+B64</f>
        <v>678644305</v>
      </c>
      <c r="C60" s="12">
        <f aca="true" t="shared" si="13" ref="C60:I60">C61+C62+C63+C64</f>
        <v>0</v>
      </c>
      <c r="D60" s="12">
        <f t="shared" si="13"/>
        <v>0</v>
      </c>
      <c r="E60" s="12">
        <f t="shared" si="13"/>
        <v>678644305</v>
      </c>
      <c r="F60" s="12">
        <f t="shared" si="13"/>
        <v>31795842</v>
      </c>
      <c r="G60" s="12">
        <f t="shared" si="13"/>
        <v>38343</v>
      </c>
      <c r="H60" s="12">
        <f t="shared" si="13"/>
        <v>31834185</v>
      </c>
      <c r="I60" s="12">
        <f t="shared" si="13"/>
        <v>75181452</v>
      </c>
      <c r="J60" s="13">
        <f t="shared" si="10"/>
        <v>4.690849796492435</v>
      </c>
      <c r="K60" s="13">
        <f t="shared" si="11"/>
        <v>88.92181788809087</v>
      </c>
    </row>
    <row r="61" spans="1:11" ht="13.5">
      <c r="A61" s="4" t="s">
        <v>6</v>
      </c>
      <c r="B61" s="14">
        <v>51567683</v>
      </c>
      <c r="C61" s="14"/>
      <c r="D61" s="14"/>
      <c r="E61" s="14">
        <f>B61+C61-D61</f>
        <v>51567683</v>
      </c>
      <c r="F61" s="14">
        <v>3806634</v>
      </c>
      <c r="G61" s="14">
        <v>0</v>
      </c>
      <c r="H61" s="14">
        <f>F61+G61</f>
        <v>3806634</v>
      </c>
      <c r="I61" s="37">
        <f>H61+4288038</f>
        <v>8094672</v>
      </c>
      <c r="J61" s="15">
        <f t="shared" si="10"/>
        <v>7.381820897401964</v>
      </c>
      <c r="K61" s="15">
        <f t="shared" si="11"/>
        <v>84.30282004332055</v>
      </c>
    </row>
    <row r="62" spans="1:11" ht="13.5">
      <c r="A62" s="4" t="s">
        <v>7</v>
      </c>
      <c r="B62" s="14">
        <v>3164642</v>
      </c>
      <c r="C62" s="14"/>
      <c r="D62" s="14"/>
      <c r="E62" s="14">
        <f>B62+C62-D62</f>
        <v>3164642</v>
      </c>
      <c r="F62" s="14">
        <v>10661925</v>
      </c>
      <c r="G62" s="14"/>
      <c r="H62" s="14">
        <f>F62+G62</f>
        <v>10661925</v>
      </c>
      <c r="I62" s="37">
        <f>H62+11210054</f>
        <v>21871979</v>
      </c>
      <c r="J62" s="15">
        <f t="shared" si="10"/>
        <v>336.9077766142268</v>
      </c>
      <c r="K62" s="15">
        <f t="shared" si="11"/>
        <v>-591.1359641943702</v>
      </c>
    </row>
    <row r="63" spans="1:11" ht="13.5">
      <c r="A63" s="4" t="s">
        <v>8</v>
      </c>
      <c r="B63" s="14">
        <v>620146636</v>
      </c>
      <c r="C63" s="14"/>
      <c r="D63" s="14"/>
      <c r="E63" s="14">
        <f>B63+C63-D63</f>
        <v>620146636</v>
      </c>
      <c r="F63" s="14">
        <f>14131519+264642+2608707</f>
        <v>17004868</v>
      </c>
      <c r="G63" s="14">
        <v>0</v>
      </c>
      <c r="H63" s="14">
        <f>F63+G63</f>
        <v>17004868</v>
      </c>
      <c r="I63" s="37">
        <f>H63+27355158</f>
        <v>44360026</v>
      </c>
      <c r="J63" s="15">
        <f t="shared" si="10"/>
        <v>2.742072118569067</v>
      </c>
      <c r="K63" s="15">
        <f t="shared" si="11"/>
        <v>92.84684888623664</v>
      </c>
    </row>
    <row r="64" spans="1:11" ht="13.5">
      <c r="A64" s="4" t="s">
        <v>9</v>
      </c>
      <c r="B64" s="14">
        <v>3765344</v>
      </c>
      <c r="C64" s="14"/>
      <c r="D64" s="14"/>
      <c r="E64" s="14">
        <f>B64+C64-D64</f>
        <v>3765344</v>
      </c>
      <c r="F64" s="14">
        <v>322415</v>
      </c>
      <c r="G64" s="14">
        <v>38343</v>
      </c>
      <c r="H64" s="14">
        <f>F64+G64</f>
        <v>360758</v>
      </c>
      <c r="I64" s="37">
        <f>H64+494017</f>
        <v>854775</v>
      </c>
      <c r="J64" s="15">
        <f t="shared" si="10"/>
        <v>9.58101039373826</v>
      </c>
      <c r="K64" s="15">
        <f t="shared" si="11"/>
        <v>77.29888690117025</v>
      </c>
    </row>
    <row r="65" spans="1:11" ht="12.75">
      <c r="A65" s="11" t="s">
        <v>10</v>
      </c>
      <c r="B65" s="12">
        <f>B66</f>
        <v>12357111871</v>
      </c>
      <c r="C65" s="12">
        <f aca="true" t="shared" si="14" ref="C65:I65">C66</f>
        <v>1359135391</v>
      </c>
      <c r="D65" s="12">
        <f t="shared" si="14"/>
        <v>0</v>
      </c>
      <c r="E65" s="12">
        <f t="shared" si="14"/>
        <v>13716247262</v>
      </c>
      <c r="F65" s="12">
        <f t="shared" si="14"/>
        <v>654228077</v>
      </c>
      <c r="G65" s="12">
        <f t="shared" si="14"/>
        <v>0</v>
      </c>
      <c r="H65" s="12">
        <f t="shared" si="14"/>
        <v>654228077</v>
      </c>
      <c r="I65" s="12">
        <f t="shared" si="14"/>
        <v>654228077</v>
      </c>
      <c r="J65" s="13">
        <f t="shared" si="10"/>
        <v>4.769730849140476</v>
      </c>
      <c r="K65" s="13">
        <f t="shared" si="11"/>
        <v>95.23026915085953</v>
      </c>
    </row>
    <row r="66" spans="1:11" ht="13.5">
      <c r="A66" s="4" t="s">
        <v>29</v>
      </c>
      <c r="B66" s="14">
        <v>12357111871</v>
      </c>
      <c r="C66" s="14">
        <v>1359135391</v>
      </c>
      <c r="D66" s="25"/>
      <c r="E66" s="14">
        <f>B66+C66-D66</f>
        <v>13716247262</v>
      </c>
      <c r="F66" s="14">
        <f>9712640+7000000+223264800+23013200+8000000+359237437+24000000</f>
        <v>654228077</v>
      </c>
      <c r="G66" s="14"/>
      <c r="H66" s="14">
        <f>F66+G66</f>
        <v>654228077</v>
      </c>
      <c r="I66" s="37">
        <f>H66</f>
        <v>654228077</v>
      </c>
      <c r="J66" s="15">
        <f t="shared" si="10"/>
        <v>4.769730849140476</v>
      </c>
      <c r="K66" s="15">
        <f t="shared" si="11"/>
        <v>95.23026915085953</v>
      </c>
    </row>
    <row r="67" spans="1:11" ht="12.75">
      <c r="A67" s="11" t="s">
        <v>11</v>
      </c>
      <c r="B67" s="12">
        <f>B68+B69</f>
        <v>47423075480</v>
      </c>
      <c r="C67" s="12">
        <f aca="true" t="shared" si="15" ref="C67:I67">C68+C69</f>
        <v>308170531</v>
      </c>
      <c r="D67" s="12">
        <f t="shared" si="15"/>
        <v>0</v>
      </c>
      <c r="E67" s="12">
        <f t="shared" si="15"/>
        <v>47731246011</v>
      </c>
      <c r="F67" s="12">
        <f t="shared" si="15"/>
        <v>5252128825</v>
      </c>
      <c r="G67" s="12">
        <f t="shared" si="15"/>
        <v>0</v>
      </c>
      <c r="H67" s="12">
        <f t="shared" si="15"/>
        <v>5252128825</v>
      </c>
      <c r="I67" s="12">
        <f t="shared" si="15"/>
        <v>8249730452</v>
      </c>
      <c r="J67" s="12">
        <f t="shared" si="10"/>
        <v>11.003544352874446</v>
      </c>
      <c r="K67" s="12">
        <f t="shared" si="11"/>
        <v>82.71628934618889</v>
      </c>
    </row>
    <row r="68" spans="1:11" ht="13.5">
      <c r="A68" s="4" t="s">
        <v>12</v>
      </c>
      <c r="B68" s="14">
        <v>41477999610</v>
      </c>
      <c r="C68" s="14">
        <v>308170531</v>
      </c>
      <c r="D68" s="14"/>
      <c r="E68" s="14">
        <f>B68+C68-D68</f>
        <v>41786170141</v>
      </c>
      <c r="F68" s="14">
        <f>5113088237+139040588</f>
        <v>5252128825</v>
      </c>
      <c r="G68" s="14"/>
      <c r="H68" s="14">
        <f>F68+G68</f>
        <v>5252128825</v>
      </c>
      <c r="I68" s="37">
        <f>H68+2997601627</f>
        <v>8249730452</v>
      </c>
      <c r="J68" s="15">
        <f t="shared" si="10"/>
        <v>12.569060067667426</v>
      </c>
      <c r="K68" s="15">
        <f t="shared" si="11"/>
        <v>80.25727070903423</v>
      </c>
    </row>
    <row r="69" spans="1:11" ht="13.5">
      <c r="A69" s="39" t="s">
        <v>38</v>
      </c>
      <c r="B69" s="26">
        <v>5945075870</v>
      </c>
      <c r="C69" s="14"/>
      <c r="D69" s="14"/>
      <c r="E69" s="14">
        <f>B69+C69-D69</f>
        <v>5945075870</v>
      </c>
      <c r="F69" s="14"/>
      <c r="G69" s="14"/>
      <c r="H69" s="14">
        <f>F69+G69</f>
        <v>0</v>
      </c>
      <c r="I69" s="37"/>
      <c r="J69" s="15">
        <f t="shared" si="10"/>
        <v>0</v>
      </c>
      <c r="K69" s="15">
        <f t="shared" si="11"/>
        <v>100</v>
      </c>
    </row>
    <row r="70" spans="1:11" ht="12.75">
      <c r="A70" s="11" t="s">
        <v>13</v>
      </c>
      <c r="B70" s="12">
        <f>B54+B65+B67</f>
        <v>76993004202</v>
      </c>
      <c r="C70" s="12">
        <f>C67++C65+C54</f>
        <v>1667305922</v>
      </c>
      <c r="D70" s="12">
        <f>D67++D65+D54</f>
        <v>0</v>
      </c>
      <c r="E70" s="12">
        <f>E67+E65+E54</f>
        <v>78660310124</v>
      </c>
      <c r="F70" s="12">
        <f>F67+F65+F54</f>
        <v>6497901410</v>
      </c>
      <c r="G70" s="12">
        <f>G67+G65+G54</f>
        <v>45711989</v>
      </c>
      <c r="H70" s="12">
        <f>H67+H65+H54</f>
        <v>6543613399</v>
      </c>
      <c r="I70" s="12">
        <f>I67+I65+I54</f>
        <v>11223039677</v>
      </c>
      <c r="J70" s="13">
        <f t="shared" si="10"/>
        <v>8.318824816078981</v>
      </c>
      <c r="K70" s="13">
        <f t="shared" si="11"/>
        <v>85.73227125686637</v>
      </c>
    </row>
    <row r="71" spans="1:11" ht="12.75">
      <c r="A71" s="21"/>
      <c r="B71" s="22"/>
      <c r="C71" s="22"/>
      <c r="D71" s="22"/>
      <c r="E71" s="22"/>
      <c r="F71" s="22"/>
      <c r="G71" s="22"/>
      <c r="H71" s="22"/>
      <c r="I71" s="23"/>
      <c r="J71" s="24"/>
      <c r="K71" s="24"/>
    </row>
    <row r="72" spans="1:11" ht="12.75">
      <c r="A72" s="21"/>
      <c r="B72" s="22"/>
      <c r="C72" s="22"/>
      <c r="D72" s="22"/>
      <c r="E72" s="22"/>
      <c r="F72" s="22"/>
      <c r="G72" s="22"/>
      <c r="H72" s="22"/>
      <c r="I72" s="23"/>
      <c r="J72" s="24"/>
      <c r="K72" s="24"/>
    </row>
    <row r="73" spans="2:11" ht="12.75">
      <c r="B73" s="22"/>
      <c r="C73" s="22"/>
      <c r="D73" s="22"/>
      <c r="E73" s="22"/>
      <c r="F73" s="22"/>
      <c r="G73" s="22"/>
      <c r="H73" s="22"/>
      <c r="I73" s="23"/>
      <c r="J73" s="24"/>
      <c r="K73" s="24"/>
    </row>
    <row r="74" ht="12.75">
      <c r="B74" s="27"/>
    </row>
    <row r="75" spans="2:8" ht="12.75">
      <c r="B75" s="27"/>
      <c r="C75" s="44"/>
      <c r="E75" s="27"/>
      <c r="H75" s="8"/>
    </row>
    <row r="76" spans="2:8" ht="12.75">
      <c r="B76" s="27"/>
      <c r="C76" s="44"/>
      <c r="E76" s="27"/>
      <c r="F76" s="1"/>
      <c r="H76" s="8"/>
    </row>
    <row r="77" spans="2:8" ht="12.75">
      <c r="B77" s="27"/>
      <c r="C77" s="27"/>
      <c r="E77" s="27"/>
      <c r="F77" s="1"/>
      <c r="H77" s="8"/>
    </row>
    <row r="78" spans="1:8" ht="12.75">
      <c r="A78" s="9" t="s">
        <v>52</v>
      </c>
      <c r="B78" s="27"/>
      <c r="C78" s="27"/>
      <c r="E78" s="27"/>
      <c r="F78" s="1"/>
      <c r="H78" s="8"/>
    </row>
    <row r="79" spans="1:8" ht="12.75">
      <c r="A79" t="s">
        <v>53</v>
      </c>
      <c r="B79" s="27"/>
      <c r="E79" s="27"/>
      <c r="F79" s="1"/>
      <c r="H79" s="8"/>
    </row>
    <row r="80" spans="2:8" ht="12.75">
      <c r="B80" s="27"/>
      <c r="E80" s="27"/>
      <c r="F80" s="1"/>
      <c r="H80" s="8"/>
    </row>
    <row r="81" spans="2:8" ht="12.75">
      <c r="B81" s="27"/>
      <c r="E81" s="27"/>
      <c r="F81" s="1"/>
      <c r="H81" s="8"/>
    </row>
    <row r="82" spans="2:8" ht="12.75">
      <c r="B82" s="27"/>
      <c r="F82" s="1"/>
      <c r="H82" s="8"/>
    </row>
    <row r="83" spans="2:8" ht="13.5" thickBot="1">
      <c r="B83" s="27"/>
      <c r="F83" s="1"/>
      <c r="H83" s="8"/>
    </row>
    <row r="84" spans="1:11" ht="15.75" customHeight="1" thickBot="1">
      <c r="A84" s="16"/>
      <c r="B84" s="47" t="s">
        <v>23</v>
      </c>
      <c r="C84" s="48"/>
      <c r="D84" s="48"/>
      <c r="E84" s="48"/>
      <c r="F84" s="48"/>
      <c r="G84" s="48"/>
      <c r="H84" s="48"/>
      <c r="I84" s="48"/>
      <c r="J84" s="49"/>
      <c r="K84" s="20" t="s">
        <v>27</v>
      </c>
    </row>
    <row r="85" spans="1:11" ht="26.25" customHeight="1" thickBot="1">
      <c r="A85" s="17"/>
      <c r="B85" s="47" t="s">
        <v>24</v>
      </c>
      <c r="C85" s="48"/>
      <c r="D85" s="48"/>
      <c r="E85" s="48"/>
      <c r="F85" s="48"/>
      <c r="G85" s="48"/>
      <c r="H85" s="48"/>
      <c r="I85" s="48"/>
      <c r="J85" s="49"/>
      <c r="K85" s="18" t="s">
        <v>28</v>
      </c>
    </row>
    <row r="86" spans="1:11" ht="15.75" customHeight="1" thickBot="1">
      <c r="A86" s="17"/>
      <c r="B86" s="47" t="s">
        <v>25</v>
      </c>
      <c r="C86" s="48"/>
      <c r="D86" s="48"/>
      <c r="E86" s="48"/>
      <c r="F86" s="48"/>
      <c r="G86" s="48"/>
      <c r="H86" s="48"/>
      <c r="I86" s="48"/>
      <c r="J86" s="49"/>
      <c r="K86" s="45" t="s">
        <v>26</v>
      </c>
    </row>
    <row r="87" spans="1:11" ht="15.75" customHeight="1" thickBot="1">
      <c r="A87" s="19"/>
      <c r="B87" s="47" t="s">
        <v>51</v>
      </c>
      <c r="C87" s="48"/>
      <c r="D87" s="48"/>
      <c r="E87" s="48"/>
      <c r="F87" s="48"/>
      <c r="G87" s="48"/>
      <c r="H87" s="48"/>
      <c r="I87" s="48"/>
      <c r="J87" s="49"/>
      <c r="K87" s="46"/>
    </row>
    <row r="89" spans="1:11" ht="12.75">
      <c r="A89" s="50" t="s">
        <v>44</v>
      </c>
      <c r="B89" s="50"/>
      <c r="C89" s="50"/>
      <c r="D89" s="50"/>
      <c r="E89" s="50"/>
      <c r="F89" s="50"/>
      <c r="G89" s="50"/>
      <c r="H89" s="50"/>
      <c r="I89" s="50"/>
      <c r="J89" s="50"/>
      <c r="K89" s="30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2" spans="1:11" ht="13.5">
      <c r="A92" s="51" t="s">
        <v>21</v>
      </c>
      <c r="B92" s="5" t="s">
        <v>14</v>
      </c>
      <c r="C92" s="29" t="s">
        <v>31</v>
      </c>
      <c r="D92" s="5" t="s">
        <v>16</v>
      </c>
      <c r="E92" s="33" t="s">
        <v>17</v>
      </c>
      <c r="F92" s="5" t="s">
        <v>20</v>
      </c>
      <c r="G92" s="35" t="s">
        <v>0</v>
      </c>
      <c r="H92" s="6" t="s">
        <v>19</v>
      </c>
      <c r="I92" s="29" t="s">
        <v>36</v>
      </c>
      <c r="J92" s="5" t="s">
        <v>22</v>
      </c>
      <c r="K92" s="29" t="s">
        <v>22</v>
      </c>
    </row>
    <row r="93" spans="1:11" ht="13.5">
      <c r="A93" s="52"/>
      <c r="B93" s="7" t="s">
        <v>15</v>
      </c>
      <c r="C93" s="7"/>
      <c r="D93" s="7"/>
      <c r="E93" s="34" t="s">
        <v>18</v>
      </c>
      <c r="F93" s="32" t="s">
        <v>33</v>
      </c>
      <c r="G93" s="36" t="s">
        <v>33</v>
      </c>
      <c r="H93" s="32" t="s">
        <v>34</v>
      </c>
      <c r="I93" s="32"/>
      <c r="J93" s="32" t="s">
        <v>37</v>
      </c>
      <c r="K93" s="32" t="s">
        <v>35</v>
      </c>
    </row>
    <row r="94" spans="1:11" ht="13.5">
      <c r="A94" s="2"/>
      <c r="J94" s="31"/>
      <c r="K94" s="31"/>
    </row>
    <row r="95" spans="1:11" ht="13.5">
      <c r="A95" s="3" t="s">
        <v>1</v>
      </c>
      <c r="B95" s="12">
        <f aca="true" t="shared" si="16" ref="B95:I95">B96+B101</f>
        <v>17212816851</v>
      </c>
      <c r="C95" s="12">
        <f t="shared" si="16"/>
        <v>0</v>
      </c>
      <c r="D95" s="12">
        <f t="shared" si="16"/>
        <v>0</v>
      </c>
      <c r="E95" s="12">
        <f t="shared" si="16"/>
        <v>17212816851</v>
      </c>
      <c r="F95" s="12">
        <f t="shared" si="16"/>
        <v>438312474</v>
      </c>
      <c r="G95" s="12">
        <f t="shared" si="16"/>
        <v>44800542</v>
      </c>
      <c r="H95" s="12">
        <f t="shared" si="16"/>
        <v>483113016</v>
      </c>
      <c r="I95" s="12">
        <f t="shared" si="16"/>
        <v>2802194164</v>
      </c>
      <c r="J95" s="13">
        <f aca="true" t="shared" si="17" ref="J95:J111">(H95/E95)*100</f>
        <v>2.806705144091119</v>
      </c>
      <c r="K95" s="13">
        <f aca="true" t="shared" si="18" ref="K95:K111">((E95-I95)/E95)*100</f>
        <v>83.72030453669062</v>
      </c>
    </row>
    <row r="96" spans="1:11" ht="12.75">
      <c r="A96" s="11" t="s">
        <v>2</v>
      </c>
      <c r="B96" s="12">
        <f aca="true" t="shared" si="19" ref="B96:I96">B97+B98+B100+B99</f>
        <v>16534172546</v>
      </c>
      <c r="C96" s="12">
        <f t="shared" si="19"/>
        <v>0</v>
      </c>
      <c r="D96" s="12">
        <f t="shared" si="19"/>
        <v>0</v>
      </c>
      <c r="E96" s="12">
        <f t="shared" si="19"/>
        <v>16534172546</v>
      </c>
      <c r="F96" s="12">
        <f t="shared" si="19"/>
        <v>405457582</v>
      </c>
      <c r="G96" s="12">
        <f t="shared" si="19"/>
        <v>43019652</v>
      </c>
      <c r="H96" s="12">
        <f t="shared" si="19"/>
        <v>448477234</v>
      </c>
      <c r="I96" s="12">
        <f t="shared" si="19"/>
        <v>2692376930</v>
      </c>
      <c r="J96" s="13">
        <f t="shared" si="17"/>
        <v>2.712426235738643</v>
      </c>
      <c r="K96" s="13">
        <f t="shared" si="18"/>
        <v>83.71628865908171</v>
      </c>
    </row>
    <row r="97" spans="1:11" ht="12.75">
      <c r="A97" s="10" t="s">
        <v>4</v>
      </c>
      <c r="B97" s="14">
        <v>13673580139</v>
      </c>
      <c r="C97" s="14"/>
      <c r="D97" s="14"/>
      <c r="E97" s="14">
        <f>B97+C97-D97</f>
        <v>13673580139</v>
      </c>
      <c r="F97" s="14">
        <v>245763640</v>
      </c>
      <c r="G97" s="14">
        <v>34721008</v>
      </c>
      <c r="H97" s="14">
        <f>F97+G97</f>
        <v>280484648</v>
      </c>
      <c r="I97" s="37">
        <f>H97+1576515923</f>
        <v>1857000571</v>
      </c>
      <c r="J97" s="15">
        <f t="shared" si="17"/>
        <v>2.051289019764453</v>
      </c>
      <c r="K97" s="15">
        <f t="shared" si="18"/>
        <v>86.41906104968491</v>
      </c>
    </row>
    <row r="98" spans="1:11" ht="13.5">
      <c r="A98" s="4" t="s">
        <v>3</v>
      </c>
      <c r="B98" s="14">
        <v>607692600</v>
      </c>
      <c r="C98" s="14"/>
      <c r="D98" s="14"/>
      <c r="E98" s="14">
        <f>B98+C98-D98</f>
        <v>607692600</v>
      </c>
      <c r="F98" s="14">
        <f>4061576+11924000+1276000</f>
        <v>17261576</v>
      </c>
      <c r="G98" s="14"/>
      <c r="H98" s="14">
        <f>F98+G98</f>
        <v>17261576</v>
      </c>
      <c r="I98" s="37">
        <f>H98+52755489</f>
        <v>70017065</v>
      </c>
      <c r="J98" s="15">
        <f t="shared" si="17"/>
        <v>2.8405111400072998</v>
      </c>
      <c r="K98" s="15">
        <f t="shared" si="18"/>
        <v>88.4782100357977</v>
      </c>
    </row>
    <row r="99" spans="1:11" ht="13.5">
      <c r="A99" s="4" t="s">
        <v>41</v>
      </c>
      <c r="B99" s="14">
        <v>16300368</v>
      </c>
      <c r="C99" s="14"/>
      <c r="D99" s="14"/>
      <c r="E99" s="14">
        <f>B99+C99-D99</f>
        <v>16300368</v>
      </c>
      <c r="F99" s="14">
        <f>5975000+1861146+340000+2000+8375817+5000+8190696</f>
        <v>24749659</v>
      </c>
      <c r="G99" s="14">
        <f>1500000+750000+600000+5448644</f>
        <v>8298644</v>
      </c>
      <c r="H99" s="14">
        <f>F99+G99</f>
        <v>33048303</v>
      </c>
      <c r="I99" s="37">
        <f>H99+43661594</f>
        <v>76709897</v>
      </c>
      <c r="J99" s="15">
        <f t="shared" si="17"/>
        <v>202.74574782606135</v>
      </c>
      <c r="K99" s="15">
        <f t="shared" si="18"/>
        <v>-370.6022403911372</v>
      </c>
    </row>
    <row r="100" spans="1:11" ht="13.5">
      <c r="A100" s="4" t="s">
        <v>42</v>
      </c>
      <c r="B100" s="14">
        <v>2236599439</v>
      </c>
      <c r="C100" s="14"/>
      <c r="D100" s="14"/>
      <c r="E100" s="14">
        <f>B100+C100-D100</f>
        <v>2236599439</v>
      </c>
      <c r="F100" s="14">
        <v>117682707</v>
      </c>
      <c r="G100" s="14"/>
      <c r="H100" s="14">
        <f>F100+G100</f>
        <v>117682707</v>
      </c>
      <c r="I100" s="37">
        <f>H100+570966690</f>
        <v>688649397</v>
      </c>
      <c r="J100" s="15">
        <f t="shared" si="17"/>
        <v>5.261680073237289</v>
      </c>
      <c r="K100" s="15">
        <f t="shared" si="18"/>
        <v>69.20998078637183</v>
      </c>
    </row>
    <row r="101" spans="1:11" ht="12.75">
      <c r="A101" s="11" t="s">
        <v>5</v>
      </c>
      <c r="B101" s="12">
        <f aca="true" t="shared" si="20" ref="B101:I101">B102+B103+B104+B105</f>
        <v>678644305</v>
      </c>
      <c r="C101" s="12">
        <f t="shared" si="20"/>
        <v>0</v>
      </c>
      <c r="D101" s="12">
        <f t="shared" si="20"/>
        <v>0</v>
      </c>
      <c r="E101" s="12">
        <f t="shared" si="20"/>
        <v>678644305</v>
      </c>
      <c r="F101" s="12">
        <f t="shared" si="20"/>
        <v>32854892</v>
      </c>
      <c r="G101" s="12">
        <f t="shared" si="20"/>
        <v>1780890</v>
      </c>
      <c r="H101" s="12">
        <f t="shared" si="20"/>
        <v>34635782</v>
      </c>
      <c r="I101" s="12">
        <f t="shared" si="20"/>
        <v>109817234</v>
      </c>
      <c r="J101" s="13">
        <f t="shared" si="17"/>
        <v>5.103672386965658</v>
      </c>
      <c r="K101" s="13">
        <f t="shared" si="18"/>
        <v>83.81814550112522</v>
      </c>
    </row>
    <row r="102" spans="1:11" ht="13.5">
      <c r="A102" s="4" t="s">
        <v>6</v>
      </c>
      <c r="B102" s="14">
        <v>51567683</v>
      </c>
      <c r="C102" s="14"/>
      <c r="D102" s="14"/>
      <c r="E102" s="14">
        <f>B102+C102-D102</f>
        <v>51567683</v>
      </c>
      <c r="F102" s="14">
        <v>1718081</v>
      </c>
      <c r="G102" s="14">
        <v>135994</v>
      </c>
      <c r="H102" s="14">
        <f>F102+G102</f>
        <v>1854075</v>
      </c>
      <c r="I102" s="37">
        <f>H102+8094672</f>
        <v>9948747</v>
      </c>
      <c r="J102" s="15">
        <f t="shared" si="17"/>
        <v>3.595420410880202</v>
      </c>
      <c r="K102" s="15">
        <f t="shared" si="18"/>
        <v>80.70739963244034</v>
      </c>
    </row>
    <row r="103" spans="1:11" ht="13.5">
      <c r="A103" s="4" t="s">
        <v>7</v>
      </c>
      <c r="B103" s="14">
        <v>3164642</v>
      </c>
      <c r="C103" s="14"/>
      <c r="D103" s="14"/>
      <c r="E103" s="14">
        <f>B103+C103-D103</f>
        <v>3164642</v>
      </c>
      <c r="F103" s="14">
        <v>9114766</v>
      </c>
      <c r="G103" s="14"/>
      <c r="H103" s="14">
        <f>F103+G103</f>
        <v>9114766</v>
      </c>
      <c r="I103" s="37">
        <f>H103+21871979</f>
        <v>30986745</v>
      </c>
      <c r="J103" s="15">
        <f t="shared" si="17"/>
        <v>288.018865957034</v>
      </c>
      <c r="K103" s="15">
        <f t="shared" si="18"/>
        <v>-879.1548301514041</v>
      </c>
    </row>
    <row r="104" spans="1:11" ht="13.5">
      <c r="A104" s="4" t="s">
        <v>8</v>
      </c>
      <c r="B104" s="14">
        <v>620146636</v>
      </c>
      <c r="C104" s="14"/>
      <c r="D104" s="14"/>
      <c r="E104" s="14">
        <f>B104+C104-D104</f>
        <v>620146636</v>
      </c>
      <c r="F104" s="14">
        <f>294246+12807925+8833241</f>
        <v>21935412</v>
      </c>
      <c r="G104" s="14">
        <f>200000+1411863</f>
        <v>1611863</v>
      </c>
      <c r="H104" s="14">
        <f>F104+G104</f>
        <v>23547275</v>
      </c>
      <c r="I104" s="37">
        <f>H104+44360026</f>
        <v>67907301</v>
      </c>
      <c r="J104" s="15">
        <f t="shared" si="17"/>
        <v>3.7970495416829126</v>
      </c>
      <c r="K104" s="15">
        <f t="shared" si="18"/>
        <v>89.04979934455372</v>
      </c>
    </row>
    <row r="105" spans="1:11" ht="13.5">
      <c r="A105" s="4" t="s">
        <v>9</v>
      </c>
      <c r="B105" s="14">
        <v>3765344</v>
      </c>
      <c r="C105" s="14"/>
      <c r="D105" s="14"/>
      <c r="E105" s="14">
        <f>B105+C105-D105</f>
        <v>3765344</v>
      </c>
      <c r="F105" s="14">
        <v>86633</v>
      </c>
      <c r="G105" s="14">
        <v>33033</v>
      </c>
      <c r="H105" s="14">
        <f>F105+G105</f>
        <v>119666</v>
      </c>
      <c r="I105" s="37">
        <f>H105+854775</f>
        <v>974441</v>
      </c>
      <c r="J105" s="15">
        <f t="shared" si="17"/>
        <v>3.178089438840117</v>
      </c>
      <c r="K105" s="15">
        <f t="shared" si="18"/>
        <v>74.12079746233013</v>
      </c>
    </row>
    <row r="106" spans="1:11" ht="12.75">
      <c r="A106" s="11" t="s">
        <v>10</v>
      </c>
      <c r="B106" s="12">
        <f aca="true" t="shared" si="21" ref="B106:I106">B107</f>
        <v>12357111871</v>
      </c>
      <c r="C106" s="12">
        <f t="shared" si="21"/>
        <v>1359135391</v>
      </c>
      <c r="D106" s="12">
        <f t="shared" si="21"/>
        <v>0</v>
      </c>
      <c r="E106" s="12">
        <f t="shared" si="21"/>
        <v>13716247262</v>
      </c>
      <c r="F106" s="12">
        <f t="shared" si="21"/>
        <v>269154000</v>
      </c>
      <c r="G106" s="12">
        <f t="shared" si="21"/>
        <v>0</v>
      </c>
      <c r="H106" s="12">
        <f t="shared" si="21"/>
        <v>269154000</v>
      </c>
      <c r="I106" s="12">
        <f t="shared" si="21"/>
        <v>923382077</v>
      </c>
      <c r="J106" s="13">
        <f t="shared" si="17"/>
        <v>1.96230058308787</v>
      </c>
      <c r="K106" s="13">
        <f t="shared" si="18"/>
        <v>93.26796856777165</v>
      </c>
    </row>
    <row r="107" spans="1:11" ht="13.5">
      <c r="A107" s="4" t="s">
        <v>29</v>
      </c>
      <c r="B107" s="14">
        <v>12357111871</v>
      </c>
      <c r="C107" s="14">
        <v>1359135391</v>
      </c>
      <c r="D107" s="25"/>
      <c r="E107" s="14">
        <f>B107+C107-D107</f>
        <v>13716247262</v>
      </c>
      <c r="F107" s="14">
        <v>269154000</v>
      </c>
      <c r="G107" s="14"/>
      <c r="H107" s="14">
        <f>F107+G107</f>
        <v>269154000</v>
      </c>
      <c r="I107" s="37">
        <f>H107+654228077</f>
        <v>923382077</v>
      </c>
      <c r="J107" s="15">
        <f t="shared" si="17"/>
        <v>1.96230058308787</v>
      </c>
      <c r="K107" s="15">
        <f t="shared" si="18"/>
        <v>93.26796856777165</v>
      </c>
    </row>
    <row r="108" spans="1:11" ht="12.75">
      <c r="A108" s="11" t="s">
        <v>11</v>
      </c>
      <c r="B108" s="12">
        <f aca="true" t="shared" si="22" ref="B108:I108">B109+B110</f>
        <v>47423075480</v>
      </c>
      <c r="C108" s="12">
        <f t="shared" si="22"/>
        <v>308170531</v>
      </c>
      <c r="D108" s="12">
        <f t="shared" si="22"/>
        <v>0</v>
      </c>
      <c r="E108" s="12">
        <f t="shared" si="22"/>
        <v>47731246011</v>
      </c>
      <c r="F108" s="12">
        <f t="shared" si="22"/>
        <v>3397320771</v>
      </c>
      <c r="G108" s="12">
        <f t="shared" si="22"/>
        <v>0</v>
      </c>
      <c r="H108" s="12">
        <f t="shared" si="22"/>
        <v>3397320771</v>
      </c>
      <c r="I108" s="12">
        <f t="shared" si="22"/>
        <v>11647051223</v>
      </c>
      <c r="J108" s="12">
        <f t="shared" si="17"/>
        <v>7.117603362411833</v>
      </c>
      <c r="K108" s="12">
        <f t="shared" si="18"/>
        <v>75.59868598377705</v>
      </c>
    </row>
    <row r="109" spans="1:11" ht="13.5">
      <c r="A109" s="4" t="s">
        <v>12</v>
      </c>
      <c r="B109" s="14">
        <v>41477999610</v>
      </c>
      <c r="C109" s="14">
        <v>308170531</v>
      </c>
      <c r="D109" s="14"/>
      <c r="E109" s="14">
        <f>B109+C109-D109</f>
        <v>41786170141</v>
      </c>
      <c r="F109" s="14">
        <f>2556544119+139040588</f>
        <v>2695584707</v>
      </c>
      <c r="G109" s="14"/>
      <c r="H109" s="14">
        <f>F109+G109</f>
        <v>2695584707</v>
      </c>
      <c r="I109" s="37">
        <f>H109+8249730452</f>
        <v>10945315159</v>
      </c>
      <c r="J109" s="15">
        <f t="shared" si="17"/>
        <v>6.450901573186125</v>
      </c>
      <c r="K109" s="15">
        <f t="shared" si="18"/>
        <v>73.8063691358481</v>
      </c>
    </row>
    <row r="110" spans="1:11" ht="13.5">
      <c r="A110" s="39" t="s">
        <v>38</v>
      </c>
      <c r="B110" s="26">
        <v>5945075870</v>
      </c>
      <c r="C110" s="14"/>
      <c r="D110" s="14"/>
      <c r="E110" s="14">
        <f>B110+C110-D110</f>
        <v>5945075870</v>
      </c>
      <c r="F110" s="14">
        <v>701736064</v>
      </c>
      <c r="G110" s="14"/>
      <c r="H110" s="14">
        <f>F110+G110</f>
        <v>701736064</v>
      </c>
      <c r="I110" s="37">
        <f>H110+0</f>
        <v>701736064</v>
      </c>
      <c r="J110" s="15">
        <f t="shared" si="17"/>
        <v>11.803651952384588</v>
      </c>
      <c r="K110" s="15">
        <f t="shared" si="18"/>
        <v>88.19634804761542</v>
      </c>
    </row>
    <row r="111" spans="1:11" ht="12.75">
      <c r="A111" s="11" t="s">
        <v>13</v>
      </c>
      <c r="B111" s="12">
        <f>B95+B106+B108</f>
        <v>76993004202</v>
      </c>
      <c r="C111" s="12">
        <f>C108++C106+C95</f>
        <v>1667305922</v>
      </c>
      <c r="D111" s="12">
        <f>D108++D106+D95</f>
        <v>0</v>
      </c>
      <c r="E111" s="12">
        <f>E108+E106+E95</f>
        <v>78660310124</v>
      </c>
      <c r="F111" s="12">
        <f>F108+F106+F95</f>
        <v>4104787245</v>
      </c>
      <c r="G111" s="12">
        <f>G108+G106+G95</f>
        <v>44800542</v>
      </c>
      <c r="H111" s="12">
        <f>H108+H106+H95</f>
        <v>4149587787</v>
      </c>
      <c r="I111" s="12">
        <f>I108+I106+I95</f>
        <v>15372627464</v>
      </c>
      <c r="J111" s="13">
        <f t="shared" si="17"/>
        <v>5.275325994085957</v>
      </c>
      <c r="K111" s="13">
        <f t="shared" si="18"/>
        <v>80.45694526278041</v>
      </c>
    </row>
    <row r="112" spans="1:11" ht="12.75">
      <c r="A112" s="21"/>
      <c r="B112" s="22"/>
      <c r="C112" s="22"/>
      <c r="D112" s="22"/>
      <c r="E112" s="22"/>
      <c r="F112" s="22"/>
      <c r="G112" s="22"/>
      <c r="H112" s="22"/>
      <c r="I112" s="23"/>
      <c r="J112" s="24"/>
      <c r="K112" s="24"/>
    </row>
    <row r="113" spans="1:11" ht="12.75">
      <c r="A113" s="21"/>
      <c r="B113" s="22"/>
      <c r="C113" s="22"/>
      <c r="D113" s="22"/>
      <c r="E113" s="22"/>
      <c r="F113" s="22"/>
      <c r="G113" s="22"/>
      <c r="H113" s="22"/>
      <c r="I113" s="23"/>
      <c r="J113" s="24"/>
      <c r="K113" s="24"/>
    </row>
    <row r="114" spans="2:11" ht="12.75">
      <c r="B114" s="22"/>
      <c r="C114" s="22"/>
      <c r="D114" s="22"/>
      <c r="E114" s="22"/>
      <c r="F114" s="22"/>
      <c r="G114" s="22"/>
      <c r="H114" s="22"/>
      <c r="I114" s="23"/>
      <c r="J114" s="24"/>
      <c r="K114" s="24"/>
    </row>
    <row r="115" ht="12.75">
      <c r="B115" s="27"/>
    </row>
    <row r="116" spans="2:8" ht="12.75">
      <c r="B116" s="27"/>
      <c r="E116" s="27"/>
      <c r="H116" s="8"/>
    </row>
    <row r="117" spans="2:8" ht="12.75">
      <c r="B117" s="27"/>
      <c r="E117" s="27"/>
      <c r="F117" s="1"/>
      <c r="H117" s="8"/>
    </row>
    <row r="118" spans="2:8" ht="12.75">
      <c r="B118" s="27"/>
      <c r="E118" s="27"/>
      <c r="F118" s="1"/>
      <c r="H118" s="8"/>
    </row>
    <row r="119" spans="1:8" ht="12.75">
      <c r="A119" s="9" t="s">
        <v>52</v>
      </c>
      <c r="B119" s="27"/>
      <c r="E119" s="27"/>
      <c r="F119" s="1"/>
      <c r="H119" s="8"/>
    </row>
    <row r="120" spans="1:8" ht="12.75">
      <c r="A120" t="s">
        <v>53</v>
      </c>
      <c r="B120" s="27"/>
      <c r="E120" s="27"/>
      <c r="F120" s="1"/>
      <c r="H120" s="8"/>
    </row>
    <row r="121" spans="2:8" ht="12.75">
      <c r="B121" s="27"/>
      <c r="E121" s="27"/>
      <c r="F121" s="1"/>
      <c r="H121" s="8"/>
    </row>
    <row r="122" spans="2:8" ht="12.75">
      <c r="B122" s="27"/>
      <c r="E122" s="27"/>
      <c r="F122" s="1"/>
      <c r="H122" s="8"/>
    </row>
    <row r="123" spans="2:8" ht="12.75">
      <c r="B123" s="27"/>
      <c r="F123" s="1"/>
      <c r="H123" s="8"/>
    </row>
    <row r="124" spans="2:8" ht="13.5" thickBot="1">
      <c r="B124" s="27"/>
      <c r="F124" s="1"/>
      <c r="H124" s="8"/>
    </row>
    <row r="125" spans="1:11" ht="15.75" customHeight="1" thickBot="1">
      <c r="A125" s="16"/>
      <c r="B125" s="47" t="s">
        <v>23</v>
      </c>
      <c r="C125" s="48"/>
      <c r="D125" s="48"/>
      <c r="E125" s="48"/>
      <c r="F125" s="48"/>
      <c r="G125" s="48"/>
      <c r="H125" s="48"/>
      <c r="I125" s="48"/>
      <c r="J125" s="49"/>
      <c r="K125" s="20" t="s">
        <v>27</v>
      </c>
    </row>
    <row r="126" spans="1:11" ht="26.25" customHeight="1" thickBot="1">
      <c r="A126" s="17"/>
      <c r="B126" s="47" t="s">
        <v>24</v>
      </c>
      <c r="C126" s="48"/>
      <c r="D126" s="48"/>
      <c r="E126" s="48"/>
      <c r="F126" s="48"/>
      <c r="G126" s="48"/>
      <c r="H126" s="48"/>
      <c r="I126" s="48"/>
      <c r="J126" s="49"/>
      <c r="K126" s="18" t="s">
        <v>28</v>
      </c>
    </row>
    <row r="127" spans="1:11" ht="15.75" customHeight="1" thickBot="1">
      <c r="A127" s="17"/>
      <c r="B127" s="47" t="s">
        <v>25</v>
      </c>
      <c r="C127" s="48"/>
      <c r="D127" s="48"/>
      <c r="E127" s="48"/>
      <c r="F127" s="48"/>
      <c r="G127" s="48"/>
      <c r="H127" s="48"/>
      <c r="I127" s="48"/>
      <c r="J127" s="49"/>
      <c r="K127" s="45" t="s">
        <v>26</v>
      </c>
    </row>
    <row r="128" spans="1:11" ht="15.75" customHeight="1" thickBot="1">
      <c r="A128" s="19"/>
      <c r="B128" s="47" t="s">
        <v>51</v>
      </c>
      <c r="C128" s="48"/>
      <c r="D128" s="48"/>
      <c r="E128" s="48"/>
      <c r="F128" s="48"/>
      <c r="G128" s="48"/>
      <c r="H128" s="48"/>
      <c r="I128" s="48"/>
      <c r="J128" s="49"/>
      <c r="K128" s="46"/>
    </row>
    <row r="130" spans="1:11" ht="12.75">
      <c r="A130" s="53" t="s">
        <v>39</v>
      </c>
      <c r="B130" s="53"/>
      <c r="C130" s="53"/>
      <c r="D130" s="53"/>
      <c r="E130" s="53"/>
      <c r="F130" s="53"/>
      <c r="G130" s="53"/>
      <c r="H130" s="53"/>
      <c r="I130" s="53"/>
      <c r="J130" s="53"/>
      <c r="K130" s="30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3" spans="1:11" ht="13.5">
      <c r="A133" s="51" t="s">
        <v>21</v>
      </c>
      <c r="B133" s="5" t="s">
        <v>14</v>
      </c>
      <c r="C133" s="29" t="s">
        <v>31</v>
      </c>
      <c r="D133" s="5" t="s">
        <v>16</v>
      </c>
      <c r="E133" s="33" t="s">
        <v>17</v>
      </c>
      <c r="F133" s="5" t="s">
        <v>20</v>
      </c>
      <c r="G133" s="35" t="s">
        <v>0</v>
      </c>
      <c r="H133" s="6" t="s">
        <v>19</v>
      </c>
      <c r="I133" s="29" t="s">
        <v>36</v>
      </c>
      <c r="J133" s="5" t="s">
        <v>22</v>
      </c>
      <c r="K133" s="29" t="s">
        <v>22</v>
      </c>
    </row>
    <row r="134" spans="1:11" ht="13.5">
      <c r="A134" s="52"/>
      <c r="B134" s="7" t="s">
        <v>15</v>
      </c>
      <c r="C134" s="7"/>
      <c r="D134" s="7"/>
      <c r="E134" s="34" t="s">
        <v>18</v>
      </c>
      <c r="F134" s="32" t="s">
        <v>32</v>
      </c>
      <c r="G134" s="36" t="s">
        <v>32</v>
      </c>
      <c r="H134" s="32" t="s">
        <v>45</v>
      </c>
      <c r="I134" s="32"/>
      <c r="J134" s="32" t="s">
        <v>46</v>
      </c>
      <c r="K134" s="32" t="s">
        <v>35</v>
      </c>
    </row>
    <row r="135" spans="1:11" ht="13.5">
      <c r="A135" s="2"/>
      <c r="J135" s="31"/>
      <c r="K135" s="31"/>
    </row>
    <row r="136" spans="1:11" ht="13.5">
      <c r="A136" s="3" t="s">
        <v>1</v>
      </c>
      <c r="B136" s="12">
        <f aca="true" t="shared" si="23" ref="B136:I136">B137+B142</f>
        <v>17212816851</v>
      </c>
      <c r="C136" s="12">
        <f t="shared" si="23"/>
        <v>0</v>
      </c>
      <c r="D136" s="12">
        <f t="shared" si="23"/>
        <v>0</v>
      </c>
      <c r="E136" s="12">
        <f t="shared" si="23"/>
        <v>17212816851</v>
      </c>
      <c r="F136" s="12">
        <f t="shared" si="23"/>
        <v>2142871044</v>
      </c>
      <c r="G136" s="12">
        <f t="shared" si="23"/>
        <v>659323120</v>
      </c>
      <c r="H136" s="12">
        <f t="shared" si="23"/>
        <v>2802194164</v>
      </c>
      <c r="I136" s="12">
        <f t="shared" si="23"/>
        <v>2802194164</v>
      </c>
      <c r="J136" s="13">
        <f aca="true" t="shared" si="24" ref="J136:J152">(H136/E136)*100</f>
        <v>16.27969546330938</v>
      </c>
      <c r="K136" s="13">
        <f aca="true" t="shared" si="25" ref="K136:K152">((E136-I136)/E136)*100</f>
        <v>83.72030453669062</v>
      </c>
    </row>
    <row r="137" spans="1:11" ht="12.75">
      <c r="A137" s="11" t="s">
        <v>2</v>
      </c>
      <c r="B137" s="12">
        <f aca="true" t="shared" si="26" ref="B137:I137">B138+B139+B141+B140</f>
        <v>16534172546</v>
      </c>
      <c r="C137" s="12">
        <f t="shared" si="26"/>
        <v>0</v>
      </c>
      <c r="D137" s="12">
        <f t="shared" si="26"/>
        <v>0</v>
      </c>
      <c r="E137" s="12">
        <f t="shared" si="26"/>
        <v>16534172546</v>
      </c>
      <c r="F137" s="12">
        <f t="shared" si="26"/>
        <v>2039147750</v>
      </c>
      <c r="G137" s="12">
        <f t="shared" si="26"/>
        <v>653229180</v>
      </c>
      <c r="H137" s="12">
        <f t="shared" si="26"/>
        <v>2692376930</v>
      </c>
      <c r="I137" s="12">
        <f t="shared" si="26"/>
        <v>2692376930</v>
      </c>
      <c r="J137" s="13">
        <f t="shared" si="24"/>
        <v>16.283711340918288</v>
      </c>
      <c r="K137" s="13">
        <f t="shared" si="25"/>
        <v>83.71628865908171</v>
      </c>
    </row>
    <row r="138" spans="1:11" ht="12.75">
      <c r="A138" s="10" t="s">
        <v>4</v>
      </c>
      <c r="B138" s="14">
        <v>13673580139</v>
      </c>
      <c r="C138" s="14"/>
      <c r="D138" s="14"/>
      <c r="E138" s="14">
        <f>B138+C138-D138</f>
        <v>13673580139</v>
      </c>
      <c r="F138" s="14">
        <f>F14+F56+F97</f>
        <v>1245128575</v>
      </c>
      <c r="G138" s="14">
        <f>G14+G56+G97</f>
        <v>611871996</v>
      </c>
      <c r="H138" s="14">
        <f>F138+G138</f>
        <v>1857000571</v>
      </c>
      <c r="I138" s="37">
        <f>H138</f>
        <v>1857000571</v>
      </c>
      <c r="J138" s="15">
        <f t="shared" si="24"/>
        <v>13.580938950315097</v>
      </c>
      <c r="K138" s="15">
        <f t="shared" si="25"/>
        <v>86.41906104968491</v>
      </c>
    </row>
    <row r="139" spans="1:11" ht="13.5">
      <c r="A139" s="4" t="s">
        <v>3</v>
      </c>
      <c r="B139" s="14">
        <v>607692600</v>
      </c>
      <c r="C139" s="14"/>
      <c r="D139" s="14"/>
      <c r="E139" s="14">
        <f>B139+C139-D139</f>
        <v>607692600</v>
      </c>
      <c r="F139" s="14">
        <f aca="true" t="shared" si="27" ref="F139:G141">F15+F57+F98</f>
        <v>70017065</v>
      </c>
      <c r="G139" s="14">
        <f t="shared" si="27"/>
        <v>0</v>
      </c>
      <c r="H139" s="14">
        <f>F139+G139</f>
        <v>70017065</v>
      </c>
      <c r="I139" s="37">
        <f>H139</f>
        <v>70017065</v>
      </c>
      <c r="J139" s="15">
        <f t="shared" si="24"/>
        <v>11.521789964202297</v>
      </c>
      <c r="K139" s="15">
        <f t="shared" si="25"/>
        <v>88.4782100357977</v>
      </c>
    </row>
    <row r="140" spans="1:11" ht="13.5">
      <c r="A140" s="4" t="s">
        <v>41</v>
      </c>
      <c r="B140" s="14">
        <v>16300368</v>
      </c>
      <c r="C140" s="14"/>
      <c r="D140" s="14"/>
      <c r="E140" s="14">
        <f>B140+C140-D140</f>
        <v>16300368</v>
      </c>
      <c r="F140" s="14">
        <f t="shared" si="27"/>
        <v>35352713</v>
      </c>
      <c r="G140" s="14">
        <f t="shared" si="27"/>
        <v>41357184</v>
      </c>
      <c r="H140" s="14">
        <f>F140+G140</f>
        <v>76709897</v>
      </c>
      <c r="I140" s="37">
        <f>H140</f>
        <v>76709897</v>
      </c>
      <c r="J140" s="15">
        <f t="shared" si="24"/>
        <v>470.6022403911372</v>
      </c>
      <c r="K140" s="15">
        <f t="shared" si="25"/>
        <v>-370.6022403911372</v>
      </c>
    </row>
    <row r="141" spans="1:11" ht="13.5">
      <c r="A141" s="4" t="s">
        <v>42</v>
      </c>
      <c r="B141" s="14">
        <v>2236599439</v>
      </c>
      <c r="C141" s="14"/>
      <c r="D141" s="14"/>
      <c r="E141" s="14">
        <f>B141+C141-D141</f>
        <v>2236599439</v>
      </c>
      <c r="F141" s="14">
        <f t="shared" si="27"/>
        <v>688649397</v>
      </c>
      <c r="G141" s="14">
        <f t="shared" si="27"/>
        <v>0</v>
      </c>
      <c r="H141" s="14">
        <f>F141+G141</f>
        <v>688649397</v>
      </c>
      <c r="I141" s="37">
        <f>H141</f>
        <v>688649397</v>
      </c>
      <c r="J141" s="15">
        <f t="shared" si="24"/>
        <v>30.790019213628177</v>
      </c>
      <c r="K141" s="15">
        <f t="shared" si="25"/>
        <v>69.20998078637183</v>
      </c>
    </row>
    <row r="142" spans="1:11" ht="12.75">
      <c r="A142" s="11" t="s">
        <v>5</v>
      </c>
      <c r="B142" s="12">
        <f aca="true" t="shared" si="28" ref="B142:I142">B143+B144+B145+B146</f>
        <v>678644305</v>
      </c>
      <c r="C142" s="12">
        <f t="shared" si="28"/>
        <v>0</v>
      </c>
      <c r="D142" s="12">
        <f t="shared" si="28"/>
        <v>0</v>
      </c>
      <c r="E142" s="12">
        <f t="shared" si="28"/>
        <v>678644305</v>
      </c>
      <c r="F142" s="12">
        <f t="shared" si="28"/>
        <v>103723294</v>
      </c>
      <c r="G142" s="12">
        <f t="shared" si="28"/>
        <v>6093940</v>
      </c>
      <c r="H142" s="12">
        <f t="shared" si="28"/>
        <v>109817234</v>
      </c>
      <c r="I142" s="12">
        <f t="shared" si="28"/>
        <v>109817234</v>
      </c>
      <c r="J142" s="13">
        <f t="shared" si="24"/>
        <v>16.18185449887478</v>
      </c>
      <c r="K142" s="13">
        <f t="shared" si="25"/>
        <v>83.81814550112522</v>
      </c>
    </row>
    <row r="143" spans="1:11" ht="13.5">
      <c r="A143" s="4" t="s">
        <v>6</v>
      </c>
      <c r="B143" s="14">
        <v>51567683</v>
      </c>
      <c r="C143" s="14"/>
      <c r="D143" s="14"/>
      <c r="E143" s="14">
        <f>B143+C143-D143</f>
        <v>51567683</v>
      </c>
      <c r="F143" s="14">
        <f aca="true" t="shared" si="29" ref="F143:G146">F19+F61+F102</f>
        <v>8032344</v>
      </c>
      <c r="G143" s="14">
        <f t="shared" si="29"/>
        <v>1916403</v>
      </c>
      <c r="H143" s="14">
        <f>F143+G143</f>
        <v>9948747</v>
      </c>
      <c r="I143" s="37">
        <f>H143</f>
        <v>9948747</v>
      </c>
      <c r="J143" s="15">
        <f t="shared" si="24"/>
        <v>19.292600367559658</v>
      </c>
      <c r="K143" s="15">
        <f t="shared" si="25"/>
        <v>80.70739963244034</v>
      </c>
    </row>
    <row r="144" spans="1:11" ht="13.5">
      <c r="A144" s="4" t="s">
        <v>7</v>
      </c>
      <c r="B144" s="14">
        <v>3164642</v>
      </c>
      <c r="C144" s="14"/>
      <c r="D144" s="14"/>
      <c r="E144" s="14">
        <f>B144+C144-D144</f>
        <v>3164642</v>
      </c>
      <c r="F144" s="14">
        <f t="shared" si="29"/>
        <v>30986745</v>
      </c>
      <c r="G144" s="14">
        <f t="shared" si="29"/>
        <v>0</v>
      </c>
      <c r="H144" s="14">
        <f>F144+G144</f>
        <v>30986745</v>
      </c>
      <c r="I144" s="37">
        <f>H144</f>
        <v>30986745</v>
      </c>
      <c r="J144" s="15">
        <f t="shared" si="24"/>
        <v>979.1548301514041</v>
      </c>
      <c r="K144" s="15">
        <f t="shared" si="25"/>
        <v>-879.1548301514041</v>
      </c>
    </row>
    <row r="145" spans="1:11" ht="13.5">
      <c r="A145" s="4" t="s">
        <v>8</v>
      </c>
      <c r="B145" s="14">
        <v>620146636</v>
      </c>
      <c r="C145" s="14"/>
      <c r="D145" s="14"/>
      <c r="E145" s="14">
        <f>B145+C145-D145</f>
        <v>620146636</v>
      </c>
      <c r="F145" s="14">
        <f t="shared" si="29"/>
        <v>63826416</v>
      </c>
      <c r="G145" s="14">
        <f t="shared" si="29"/>
        <v>4080885</v>
      </c>
      <c r="H145" s="14">
        <f>F145+G145</f>
        <v>67907301</v>
      </c>
      <c r="I145" s="37">
        <f>H145</f>
        <v>67907301</v>
      </c>
      <c r="J145" s="15">
        <f t="shared" si="24"/>
        <v>10.95020065544627</v>
      </c>
      <c r="K145" s="15">
        <f t="shared" si="25"/>
        <v>89.04979934455372</v>
      </c>
    </row>
    <row r="146" spans="1:11" ht="13.5">
      <c r="A146" s="4" t="s">
        <v>9</v>
      </c>
      <c r="B146" s="14">
        <v>3765344</v>
      </c>
      <c r="C146" s="14"/>
      <c r="D146" s="14"/>
      <c r="E146" s="14">
        <f>B146+C146-D146</f>
        <v>3765344</v>
      </c>
      <c r="F146" s="14">
        <f t="shared" si="29"/>
        <v>877789</v>
      </c>
      <c r="G146" s="14">
        <f t="shared" si="29"/>
        <v>96652</v>
      </c>
      <c r="H146" s="14">
        <f>F146+G146</f>
        <v>974441</v>
      </c>
      <c r="I146" s="37">
        <f>H146</f>
        <v>974441</v>
      </c>
      <c r="J146" s="15">
        <f t="shared" si="24"/>
        <v>25.879202537669865</v>
      </c>
      <c r="K146" s="15">
        <f t="shared" si="25"/>
        <v>74.12079746233013</v>
      </c>
    </row>
    <row r="147" spans="1:11" ht="12.75">
      <c r="A147" s="11" t="s">
        <v>10</v>
      </c>
      <c r="B147" s="12">
        <f aca="true" t="shared" si="30" ref="B147:I147">B148</f>
        <v>12357111871</v>
      </c>
      <c r="C147" s="12">
        <f t="shared" si="30"/>
        <v>1359135391</v>
      </c>
      <c r="D147" s="12">
        <f t="shared" si="30"/>
        <v>0</v>
      </c>
      <c r="E147" s="12">
        <f t="shared" si="30"/>
        <v>13716247262</v>
      </c>
      <c r="F147" s="12">
        <f t="shared" si="30"/>
        <v>923382077</v>
      </c>
      <c r="G147" s="12">
        <f t="shared" si="30"/>
        <v>0</v>
      </c>
      <c r="H147" s="12">
        <f t="shared" si="30"/>
        <v>923382077</v>
      </c>
      <c r="I147" s="12">
        <f t="shared" si="30"/>
        <v>923382077</v>
      </c>
      <c r="J147" s="13">
        <f t="shared" si="24"/>
        <v>6.7320314322283465</v>
      </c>
      <c r="K147" s="13">
        <f t="shared" si="25"/>
        <v>93.26796856777165</v>
      </c>
    </row>
    <row r="148" spans="1:11" ht="13.5">
      <c r="A148" s="4" t="s">
        <v>29</v>
      </c>
      <c r="B148" s="14">
        <v>12357111871</v>
      </c>
      <c r="C148" s="14">
        <v>1359135391</v>
      </c>
      <c r="D148" s="25"/>
      <c r="E148" s="14">
        <f>B148+C148-D148</f>
        <v>13716247262</v>
      </c>
      <c r="F148" s="14">
        <f>F24+F66+F107</f>
        <v>923382077</v>
      </c>
      <c r="G148" s="14">
        <f>G24+G66+G107</f>
        <v>0</v>
      </c>
      <c r="H148" s="14">
        <f>F148+G148</f>
        <v>923382077</v>
      </c>
      <c r="I148" s="37">
        <f>H148</f>
        <v>923382077</v>
      </c>
      <c r="J148" s="15">
        <f t="shared" si="24"/>
        <v>6.7320314322283465</v>
      </c>
      <c r="K148" s="15">
        <f t="shared" si="25"/>
        <v>93.26796856777165</v>
      </c>
    </row>
    <row r="149" spans="1:11" ht="12.75">
      <c r="A149" s="11" t="s">
        <v>11</v>
      </c>
      <c r="B149" s="12">
        <f aca="true" t="shared" si="31" ref="B149:I149">B150+B151</f>
        <v>47423075480</v>
      </c>
      <c r="C149" s="12">
        <f t="shared" si="31"/>
        <v>308170531</v>
      </c>
      <c r="D149" s="12">
        <f t="shared" si="31"/>
        <v>0</v>
      </c>
      <c r="E149" s="12">
        <f t="shared" si="31"/>
        <v>47731246011</v>
      </c>
      <c r="F149" s="12">
        <f t="shared" si="31"/>
        <v>11647051223</v>
      </c>
      <c r="G149" s="12">
        <f t="shared" si="31"/>
        <v>0</v>
      </c>
      <c r="H149" s="12">
        <f t="shared" si="31"/>
        <v>11647051223</v>
      </c>
      <c r="I149" s="12">
        <f t="shared" si="31"/>
        <v>11647051223</v>
      </c>
      <c r="J149" s="12">
        <f t="shared" si="24"/>
        <v>24.40131401622295</v>
      </c>
      <c r="K149" s="12">
        <f t="shared" si="25"/>
        <v>75.59868598377705</v>
      </c>
    </row>
    <row r="150" spans="1:11" ht="13.5">
      <c r="A150" s="4" t="s">
        <v>12</v>
      </c>
      <c r="B150" s="14">
        <v>41477999610</v>
      </c>
      <c r="C150" s="14">
        <v>308170531</v>
      </c>
      <c r="D150" s="14"/>
      <c r="E150" s="14">
        <f>B150+C150-D150</f>
        <v>41786170141</v>
      </c>
      <c r="F150" s="14">
        <f>F26+F68+F109</f>
        <v>10945315159</v>
      </c>
      <c r="G150" s="14">
        <f>G26+G68+G109</f>
        <v>0</v>
      </c>
      <c r="H150" s="14">
        <f>F150+G150</f>
        <v>10945315159</v>
      </c>
      <c r="I150" s="37">
        <f>H150</f>
        <v>10945315159</v>
      </c>
      <c r="J150" s="15">
        <f t="shared" si="24"/>
        <v>26.193630864151896</v>
      </c>
      <c r="K150" s="15">
        <f t="shared" si="25"/>
        <v>73.8063691358481</v>
      </c>
    </row>
    <row r="151" spans="1:11" ht="13.5">
      <c r="A151" s="39" t="s">
        <v>38</v>
      </c>
      <c r="B151" s="26">
        <v>5945075870</v>
      </c>
      <c r="C151" s="14"/>
      <c r="D151" s="14"/>
      <c r="E151" s="14">
        <f>B151+C151-D151</f>
        <v>5945075870</v>
      </c>
      <c r="F151" s="14">
        <f>F27+F69+F110</f>
        <v>701736064</v>
      </c>
      <c r="G151" s="14">
        <f>G27+G69+G110</f>
        <v>0</v>
      </c>
      <c r="H151" s="14">
        <f>F151+G151</f>
        <v>701736064</v>
      </c>
      <c r="I151" s="37">
        <f>H151</f>
        <v>701736064</v>
      </c>
      <c r="J151" s="15">
        <f t="shared" si="24"/>
        <v>11.803651952384588</v>
      </c>
      <c r="K151" s="15">
        <f t="shared" si="25"/>
        <v>88.19634804761542</v>
      </c>
    </row>
    <row r="152" spans="1:11" ht="12.75">
      <c r="A152" s="11" t="s">
        <v>13</v>
      </c>
      <c r="B152" s="12">
        <f>B136+B147+B149</f>
        <v>76993004202</v>
      </c>
      <c r="C152" s="12">
        <f>C149++C147+C136</f>
        <v>1667305922</v>
      </c>
      <c r="D152" s="12">
        <f>D149++D147+D136</f>
        <v>0</v>
      </c>
      <c r="E152" s="12">
        <f>E149+E147+E136</f>
        <v>78660310124</v>
      </c>
      <c r="F152" s="12">
        <f>F149+F147+F136</f>
        <v>14713304344</v>
      </c>
      <c r="G152" s="12">
        <f>G149+G147+G136</f>
        <v>659323120</v>
      </c>
      <c r="H152" s="12">
        <f>H149+H147+H136</f>
        <v>15372627464</v>
      </c>
      <c r="I152" s="12">
        <f>I149+I147+I136</f>
        <v>15372627464</v>
      </c>
      <c r="J152" s="13">
        <f t="shared" si="24"/>
        <v>19.543054737219588</v>
      </c>
      <c r="K152" s="13">
        <f t="shared" si="25"/>
        <v>80.45694526278041</v>
      </c>
    </row>
    <row r="153" spans="1:11" ht="12.75">
      <c r="A153" s="21"/>
      <c r="B153" s="22"/>
      <c r="C153" s="22"/>
      <c r="D153" s="22"/>
      <c r="E153" s="22"/>
      <c r="F153" s="22"/>
      <c r="G153" s="22"/>
      <c r="H153" s="22"/>
      <c r="I153" s="23"/>
      <c r="J153" s="24"/>
      <c r="K153" s="24"/>
    </row>
    <row r="154" spans="1:11" ht="12.75">
      <c r="A154" s="21"/>
      <c r="B154" s="22"/>
      <c r="C154" s="22"/>
      <c r="D154" s="22"/>
      <c r="E154" s="22"/>
      <c r="F154" s="22"/>
      <c r="G154" s="22"/>
      <c r="H154" s="22"/>
      <c r="I154" s="23"/>
      <c r="J154" s="24"/>
      <c r="K154" s="24"/>
    </row>
    <row r="155" spans="2:11" ht="12.75">
      <c r="B155" s="22"/>
      <c r="C155" s="22"/>
      <c r="D155" s="22"/>
      <c r="E155" s="22"/>
      <c r="F155" s="22"/>
      <c r="G155" s="22"/>
      <c r="H155" s="22"/>
      <c r="I155" s="23"/>
      <c r="J155" s="24"/>
      <c r="K155" s="24"/>
    </row>
    <row r="156" ht="12.75">
      <c r="B156" s="27"/>
    </row>
    <row r="157" spans="2:8" ht="12.75">
      <c r="B157" s="27"/>
      <c r="E157" s="27"/>
      <c r="H157" s="8"/>
    </row>
    <row r="158" spans="2:8" ht="12.75">
      <c r="B158" s="27"/>
      <c r="E158" s="27"/>
      <c r="F158" s="1"/>
      <c r="H158" s="8"/>
    </row>
    <row r="159" spans="2:8" ht="12.75">
      <c r="B159" s="27"/>
      <c r="E159" s="27"/>
      <c r="F159" s="1"/>
      <c r="H159" s="8"/>
    </row>
    <row r="160" spans="1:8" ht="12.75">
      <c r="A160" s="9" t="s">
        <v>52</v>
      </c>
      <c r="B160" s="27"/>
      <c r="E160" s="27"/>
      <c r="F160" s="1"/>
      <c r="H160" s="8"/>
    </row>
    <row r="161" spans="1:8" ht="12.75">
      <c r="A161" t="s">
        <v>53</v>
      </c>
      <c r="B161" s="27"/>
      <c r="E161" s="27"/>
      <c r="F161" s="1"/>
      <c r="H161" s="8"/>
    </row>
    <row r="162" spans="2:8" ht="12.75">
      <c r="B162" s="27"/>
      <c r="E162" s="27"/>
      <c r="F162" s="1"/>
      <c r="H162" s="8"/>
    </row>
    <row r="163" spans="2:8" ht="12.75">
      <c r="B163" s="27"/>
      <c r="E163" s="27"/>
      <c r="F163" s="1"/>
      <c r="H163" s="8"/>
    </row>
    <row r="164" spans="2:8" ht="12.75">
      <c r="B164" s="27"/>
      <c r="F164" s="1"/>
      <c r="H164" s="8"/>
    </row>
    <row r="165" spans="2:8" ht="13.5" thickBot="1">
      <c r="B165" s="27"/>
      <c r="F165" s="1"/>
      <c r="H165" s="8"/>
    </row>
    <row r="166" spans="1:11" ht="15.75" customHeight="1" thickBot="1">
      <c r="A166" s="16"/>
      <c r="B166" s="47" t="s">
        <v>23</v>
      </c>
      <c r="C166" s="48"/>
      <c r="D166" s="48"/>
      <c r="E166" s="48"/>
      <c r="F166" s="48"/>
      <c r="G166" s="48"/>
      <c r="H166" s="48"/>
      <c r="I166" s="48"/>
      <c r="J166" s="49"/>
      <c r="K166" s="20" t="s">
        <v>27</v>
      </c>
    </row>
    <row r="167" spans="1:11" ht="26.25" customHeight="1" thickBot="1">
      <c r="A167" s="17"/>
      <c r="B167" s="47" t="s">
        <v>24</v>
      </c>
      <c r="C167" s="48"/>
      <c r="D167" s="48"/>
      <c r="E167" s="48"/>
      <c r="F167" s="48"/>
      <c r="G167" s="48"/>
      <c r="H167" s="48"/>
      <c r="I167" s="48"/>
      <c r="J167" s="49"/>
      <c r="K167" s="18" t="s">
        <v>28</v>
      </c>
    </row>
    <row r="168" spans="1:11" ht="15.75" customHeight="1" thickBot="1">
      <c r="A168" s="17"/>
      <c r="B168" s="47" t="s">
        <v>25</v>
      </c>
      <c r="C168" s="48"/>
      <c r="D168" s="48"/>
      <c r="E168" s="48"/>
      <c r="F168" s="48"/>
      <c r="G168" s="48"/>
      <c r="H168" s="48"/>
      <c r="I168" s="48"/>
      <c r="J168" s="49"/>
      <c r="K168" s="45" t="s">
        <v>26</v>
      </c>
    </row>
    <row r="169" spans="1:11" ht="15.75" customHeight="1" thickBot="1">
      <c r="A169" s="19"/>
      <c r="B169" s="47" t="s">
        <v>51</v>
      </c>
      <c r="C169" s="48"/>
      <c r="D169" s="48"/>
      <c r="E169" s="48"/>
      <c r="F169" s="48"/>
      <c r="G169" s="48"/>
      <c r="H169" s="48"/>
      <c r="I169" s="48"/>
      <c r="J169" s="49"/>
      <c r="K169" s="46"/>
    </row>
    <row r="171" spans="1:11" ht="12.75">
      <c r="A171" s="50" t="s">
        <v>40</v>
      </c>
      <c r="B171" s="50"/>
      <c r="C171" s="50"/>
      <c r="D171" s="50"/>
      <c r="E171" s="50"/>
      <c r="F171" s="50"/>
      <c r="G171" s="50"/>
      <c r="H171" s="50"/>
      <c r="I171" s="50"/>
      <c r="J171" s="50"/>
      <c r="K171" s="30"/>
    </row>
    <row r="172" spans="1:11" ht="12.7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</row>
    <row r="174" spans="1:11" ht="13.5">
      <c r="A174" s="51" t="s">
        <v>21</v>
      </c>
      <c r="B174" s="5" t="s">
        <v>14</v>
      </c>
      <c r="C174" s="29" t="s">
        <v>31</v>
      </c>
      <c r="D174" s="5" t="s">
        <v>16</v>
      </c>
      <c r="E174" s="33" t="s">
        <v>17</v>
      </c>
      <c r="F174" s="5" t="s">
        <v>20</v>
      </c>
      <c r="G174" s="35" t="s">
        <v>0</v>
      </c>
      <c r="H174" s="6" t="s">
        <v>19</v>
      </c>
      <c r="I174" s="29" t="s">
        <v>36</v>
      </c>
      <c r="J174" s="5" t="s">
        <v>22</v>
      </c>
      <c r="K174" s="29" t="s">
        <v>22</v>
      </c>
    </row>
    <row r="175" spans="1:11" ht="13.5">
      <c r="A175" s="52"/>
      <c r="B175" s="7" t="s">
        <v>15</v>
      </c>
      <c r="C175" s="7"/>
      <c r="D175" s="7"/>
      <c r="E175" s="34" t="s">
        <v>18</v>
      </c>
      <c r="F175" s="32" t="s">
        <v>33</v>
      </c>
      <c r="G175" s="36" t="s">
        <v>33</v>
      </c>
      <c r="H175" s="32" t="s">
        <v>34</v>
      </c>
      <c r="I175" s="32"/>
      <c r="J175" s="32" t="s">
        <v>37</v>
      </c>
      <c r="K175" s="32" t="s">
        <v>35</v>
      </c>
    </row>
    <row r="176" spans="1:11" ht="13.5">
      <c r="A176" s="2"/>
      <c r="J176" s="31"/>
      <c r="K176" s="31"/>
    </row>
    <row r="177" spans="1:11" ht="13.5">
      <c r="A177" s="3" t="s">
        <v>1</v>
      </c>
      <c r="B177" s="12">
        <f aca="true" t="shared" si="32" ref="B177:I177">B178+B183</f>
        <v>17212816851</v>
      </c>
      <c r="C177" s="12">
        <f t="shared" si="32"/>
        <v>0</v>
      </c>
      <c r="D177" s="12">
        <f t="shared" si="32"/>
        <v>0</v>
      </c>
      <c r="E177" s="12">
        <f t="shared" si="32"/>
        <v>17212816851</v>
      </c>
      <c r="F177" s="12">
        <f t="shared" si="32"/>
        <v>417889796</v>
      </c>
      <c r="G177" s="12">
        <f t="shared" si="32"/>
        <v>69568784</v>
      </c>
      <c r="H177" s="12">
        <f t="shared" si="32"/>
        <v>487458580</v>
      </c>
      <c r="I177" s="12">
        <f t="shared" si="32"/>
        <v>3289653044</v>
      </c>
      <c r="J177" s="13">
        <f aca="true" t="shared" si="33" ref="J177:J193">(H177/E177)*100</f>
        <v>2.83195123854281</v>
      </c>
      <c r="K177" s="13">
        <f aca="true" t="shared" si="34" ref="K177:K193">((E177-I177)/E177)*100</f>
        <v>80.8883515552605</v>
      </c>
    </row>
    <row r="178" spans="1:11" ht="12.75">
      <c r="A178" s="11" t="s">
        <v>2</v>
      </c>
      <c r="B178" s="12">
        <f aca="true" t="shared" si="35" ref="B178:I178">B179+B180+B182+B181</f>
        <v>16534172546</v>
      </c>
      <c r="C178" s="12">
        <f t="shared" si="35"/>
        <v>0</v>
      </c>
      <c r="D178" s="12">
        <f t="shared" si="35"/>
        <v>0</v>
      </c>
      <c r="E178" s="12">
        <f t="shared" si="35"/>
        <v>16534172546</v>
      </c>
      <c r="F178" s="12">
        <f t="shared" si="35"/>
        <v>383223713</v>
      </c>
      <c r="G178" s="12">
        <f t="shared" si="35"/>
        <v>64460840</v>
      </c>
      <c r="H178" s="12">
        <f t="shared" si="35"/>
        <v>447684553</v>
      </c>
      <c r="I178" s="12">
        <f t="shared" si="35"/>
        <v>3140061783</v>
      </c>
      <c r="J178" s="13">
        <f t="shared" si="33"/>
        <v>2.707632037554279</v>
      </c>
      <c r="K178" s="13">
        <f t="shared" si="34"/>
        <v>81.0086548071034</v>
      </c>
    </row>
    <row r="179" spans="1:11" ht="12.75">
      <c r="A179" s="10" t="s">
        <v>4</v>
      </c>
      <c r="B179" s="14">
        <v>13673580139</v>
      </c>
      <c r="C179" s="14"/>
      <c r="D179" s="14"/>
      <c r="E179" s="14">
        <f>B179+C179-D179</f>
        <v>13673580139</v>
      </c>
      <c r="F179" s="14">
        <f>104514374+43160+25440800+1970950+4496800+18976760+720720+11149600+6611500+8734750+2476320+414166+27934287+1182720+36590400+74899</f>
        <v>251332206</v>
      </c>
      <c r="G179" s="14">
        <f>9872876+5156970+17227600</f>
        <v>32257446</v>
      </c>
      <c r="H179" s="14">
        <f>F179+G179</f>
        <v>283589652</v>
      </c>
      <c r="I179" s="37">
        <f>H179+1857000571</f>
        <v>2140590223</v>
      </c>
      <c r="J179" s="15">
        <f t="shared" si="33"/>
        <v>2.073997074044574</v>
      </c>
      <c r="K179" s="15">
        <f t="shared" si="34"/>
        <v>84.34506397564033</v>
      </c>
    </row>
    <row r="180" spans="1:11" ht="13.5">
      <c r="A180" s="4" t="s">
        <v>3</v>
      </c>
      <c r="B180" s="14">
        <v>607692600</v>
      </c>
      <c r="C180" s="14"/>
      <c r="D180" s="14"/>
      <c r="E180" s="14">
        <f>B180+C180-D180</f>
        <v>607692600</v>
      </c>
      <c r="F180" s="14">
        <f>5000000+10000+5824593+600000+3000000+6633680</f>
        <v>21068273</v>
      </c>
      <c r="G180" s="14"/>
      <c r="H180" s="14">
        <f>F180+G180</f>
        <v>21068273</v>
      </c>
      <c r="I180" s="37">
        <f>H180+70017065</f>
        <v>91085338</v>
      </c>
      <c r="J180" s="15">
        <f t="shared" si="33"/>
        <v>3.4669293323631054</v>
      </c>
      <c r="K180" s="15">
        <f t="shared" si="34"/>
        <v>85.0112807034346</v>
      </c>
    </row>
    <row r="181" spans="1:11" ht="13.5">
      <c r="A181" s="4" t="s">
        <v>41</v>
      </c>
      <c r="B181" s="14">
        <v>16300368</v>
      </c>
      <c r="C181" s="14"/>
      <c r="D181" s="14"/>
      <c r="E181" s="41">
        <f>B181+C181-D181</f>
        <v>16300368</v>
      </c>
      <c r="F181" s="14">
        <f>519217+212000+4725000+9400457+4052722</f>
        <v>18909396</v>
      </c>
      <c r="G181" s="14">
        <f>1500000+750000+600000+29353394</f>
        <v>32203394</v>
      </c>
      <c r="H181" s="14">
        <f>F181+G181</f>
        <v>51112790</v>
      </c>
      <c r="I181" s="37">
        <f>H181+76709897</f>
        <v>127822687</v>
      </c>
      <c r="J181" s="15">
        <f t="shared" si="33"/>
        <v>313.5683194391685</v>
      </c>
      <c r="K181" s="15">
        <f t="shared" si="34"/>
        <v>-684.1705598303057</v>
      </c>
    </row>
    <row r="182" spans="1:11" ht="13.5">
      <c r="A182" s="4" t="s">
        <v>42</v>
      </c>
      <c r="B182" s="14">
        <v>2236599439</v>
      </c>
      <c r="C182" s="14"/>
      <c r="D182" s="14"/>
      <c r="E182" s="14">
        <f>B182+C182-D182</f>
        <v>2236599439</v>
      </c>
      <c r="F182" s="14">
        <v>91913838</v>
      </c>
      <c r="G182" s="14"/>
      <c r="H182" s="14">
        <f>F182+G182</f>
        <v>91913838</v>
      </c>
      <c r="I182" s="37">
        <f>H182+688649697</f>
        <v>780563535</v>
      </c>
      <c r="J182" s="15">
        <f t="shared" si="33"/>
        <v>4.10953505564212</v>
      </c>
      <c r="K182" s="15">
        <f t="shared" si="34"/>
        <v>65.10043231750984</v>
      </c>
    </row>
    <row r="183" spans="1:11" ht="12.75">
      <c r="A183" s="11" t="s">
        <v>5</v>
      </c>
      <c r="B183" s="12">
        <f aca="true" t="shared" si="36" ref="B183:I183">B184+B185+B186+B187</f>
        <v>678644305</v>
      </c>
      <c r="C183" s="12">
        <f t="shared" si="36"/>
        <v>0</v>
      </c>
      <c r="D183" s="12">
        <f t="shared" si="36"/>
        <v>0</v>
      </c>
      <c r="E183" s="12">
        <f t="shared" si="36"/>
        <v>678644305</v>
      </c>
      <c r="F183" s="12">
        <f t="shared" si="36"/>
        <v>34666083</v>
      </c>
      <c r="G183" s="12">
        <f t="shared" si="36"/>
        <v>5107944</v>
      </c>
      <c r="H183" s="12">
        <f t="shared" si="36"/>
        <v>39774027</v>
      </c>
      <c r="I183" s="12">
        <f t="shared" si="36"/>
        <v>149591261</v>
      </c>
      <c r="J183" s="13">
        <f t="shared" si="33"/>
        <v>5.860806125824633</v>
      </c>
      <c r="K183" s="13">
        <f t="shared" si="34"/>
        <v>77.95733937530058</v>
      </c>
    </row>
    <row r="184" spans="1:11" ht="13.5">
      <c r="A184" s="4" t="s">
        <v>6</v>
      </c>
      <c r="B184" s="14">
        <v>51567683</v>
      </c>
      <c r="C184" s="14"/>
      <c r="D184" s="14"/>
      <c r="E184" s="14">
        <f>B184+C184-D184</f>
        <v>51567683</v>
      </c>
      <c r="F184" s="14">
        <v>2429250</v>
      </c>
      <c r="G184" s="14">
        <v>525208</v>
      </c>
      <c r="H184" s="14">
        <f>F184+G184</f>
        <v>2954458</v>
      </c>
      <c r="I184" s="37">
        <f>H184+9948747</f>
        <v>12903205</v>
      </c>
      <c r="J184" s="15">
        <f t="shared" si="33"/>
        <v>5.729282038907972</v>
      </c>
      <c r="K184" s="15">
        <f t="shared" si="34"/>
        <v>74.97811759353237</v>
      </c>
    </row>
    <row r="185" spans="1:11" ht="13.5">
      <c r="A185" s="4" t="s">
        <v>7</v>
      </c>
      <c r="B185" s="14">
        <v>3164642</v>
      </c>
      <c r="C185" s="14"/>
      <c r="D185" s="14"/>
      <c r="E185" s="14">
        <f>B185+C185-D185</f>
        <v>3164642</v>
      </c>
      <c r="F185" s="14">
        <v>5169359</v>
      </c>
      <c r="G185" s="14"/>
      <c r="H185" s="14">
        <f>F185+G185</f>
        <v>5169359</v>
      </c>
      <c r="I185" s="37">
        <f>H185+30986745</f>
        <v>36156104</v>
      </c>
      <c r="J185" s="15">
        <f t="shared" si="33"/>
        <v>163.34735492987832</v>
      </c>
      <c r="K185" s="15">
        <f t="shared" si="34"/>
        <v>-1042.5021850812825</v>
      </c>
    </row>
    <row r="186" spans="1:11" ht="13.5">
      <c r="A186" s="4" t="s">
        <v>8</v>
      </c>
      <c r="B186" s="14">
        <v>620146636</v>
      </c>
      <c r="C186" s="14"/>
      <c r="D186" s="14"/>
      <c r="E186" s="14">
        <f>B186+C186-D186</f>
        <v>620146636</v>
      </c>
      <c r="F186" s="14">
        <f>23926603+823777+1996072</f>
        <v>26746452</v>
      </c>
      <c r="G186" s="14">
        <f>3976502+579900</f>
        <v>4556402</v>
      </c>
      <c r="H186" s="14">
        <f>F186+G186</f>
        <v>31302854</v>
      </c>
      <c r="I186" s="37">
        <f>H186+67907301</f>
        <v>99210155</v>
      </c>
      <c r="J186" s="15">
        <f t="shared" si="33"/>
        <v>5.047653600430077</v>
      </c>
      <c r="K186" s="15">
        <f t="shared" si="34"/>
        <v>84.00214574412365</v>
      </c>
    </row>
    <row r="187" spans="1:11" ht="13.5">
      <c r="A187" s="4" t="s">
        <v>9</v>
      </c>
      <c r="B187" s="14">
        <v>3765344</v>
      </c>
      <c r="C187" s="14"/>
      <c r="D187" s="14"/>
      <c r="E187" s="14">
        <f>B187+C187-D187</f>
        <v>3765344</v>
      </c>
      <c r="F187" s="14">
        <v>321022</v>
      </c>
      <c r="G187" s="14">
        <v>26334</v>
      </c>
      <c r="H187" s="14">
        <f>F187+G187</f>
        <v>347356</v>
      </c>
      <c r="I187" s="37">
        <f>H187+974441</f>
        <v>1321797</v>
      </c>
      <c r="J187" s="15">
        <f t="shared" si="33"/>
        <v>9.225080098923232</v>
      </c>
      <c r="K187" s="15">
        <f t="shared" si="34"/>
        <v>64.8957173634069</v>
      </c>
    </row>
    <row r="188" spans="1:11" ht="12.75">
      <c r="A188" s="11" t="s">
        <v>10</v>
      </c>
      <c r="B188" s="12">
        <f aca="true" t="shared" si="37" ref="B188:I188">B189</f>
        <v>12357111871</v>
      </c>
      <c r="C188" s="12">
        <f t="shared" si="37"/>
        <v>1419136031</v>
      </c>
      <c r="D188" s="12">
        <f t="shared" si="37"/>
        <v>0</v>
      </c>
      <c r="E188" s="12">
        <f t="shared" si="37"/>
        <v>13776247902</v>
      </c>
      <c r="F188" s="12">
        <f t="shared" si="37"/>
        <v>1059276550</v>
      </c>
      <c r="G188" s="12">
        <f t="shared" si="37"/>
        <v>0</v>
      </c>
      <c r="H188" s="12">
        <f t="shared" si="37"/>
        <v>1059276550</v>
      </c>
      <c r="I188" s="12">
        <f t="shared" si="37"/>
        <v>1982658627</v>
      </c>
      <c r="J188" s="13">
        <f t="shared" si="33"/>
        <v>7.689151338850523</v>
      </c>
      <c r="K188" s="13">
        <f t="shared" si="34"/>
        <v>85.60813770843828</v>
      </c>
    </row>
    <row r="189" spans="1:11" ht="13.5">
      <c r="A189" s="4" t="s">
        <v>29</v>
      </c>
      <c r="B189" s="14">
        <v>12357111871</v>
      </c>
      <c r="C189" s="14">
        <f>1359135391+60000000+640</f>
        <v>1419136031</v>
      </c>
      <c r="D189" s="25"/>
      <c r="E189" s="14">
        <f>B189+C189-D189</f>
        <v>13776247902</v>
      </c>
      <c r="F189" s="14">
        <v>1059276550</v>
      </c>
      <c r="G189" s="14"/>
      <c r="H189" s="14">
        <f>F189+G189</f>
        <v>1059276550</v>
      </c>
      <c r="I189" s="37">
        <f>H189+923382077</f>
        <v>1982658627</v>
      </c>
      <c r="J189" s="15">
        <f t="shared" si="33"/>
        <v>7.689151338850523</v>
      </c>
      <c r="K189" s="15">
        <f t="shared" si="34"/>
        <v>85.60813770843828</v>
      </c>
    </row>
    <row r="190" spans="1:11" ht="12.75">
      <c r="A190" s="11" t="s">
        <v>11</v>
      </c>
      <c r="B190" s="12">
        <f aca="true" t="shared" si="38" ref="B190:I190">B191+B192</f>
        <v>47423075480</v>
      </c>
      <c r="C190" s="12">
        <f t="shared" si="38"/>
        <v>308170531</v>
      </c>
      <c r="D190" s="12">
        <f t="shared" si="38"/>
        <v>0</v>
      </c>
      <c r="E190" s="12">
        <f t="shared" si="38"/>
        <v>47731246011</v>
      </c>
      <c r="F190" s="12">
        <f t="shared" si="38"/>
        <v>2695584707</v>
      </c>
      <c r="G190" s="12">
        <f t="shared" si="38"/>
        <v>0</v>
      </c>
      <c r="H190" s="12">
        <f t="shared" si="38"/>
        <v>2695584707</v>
      </c>
      <c r="I190" s="12">
        <f t="shared" si="38"/>
        <v>14342635930</v>
      </c>
      <c r="J190" s="12">
        <f t="shared" si="33"/>
        <v>5.647421620585358</v>
      </c>
      <c r="K190" s="12">
        <f t="shared" si="34"/>
        <v>69.95126436319168</v>
      </c>
    </row>
    <row r="191" spans="1:11" ht="13.5">
      <c r="A191" s="4" t="s">
        <v>12</v>
      </c>
      <c r="B191" s="14">
        <v>41477999610</v>
      </c>
      <c r="C191" s="14">
        <v>308170531</v>
      </c>
      <c r="D191" s="14"/>
      <c r="E191" s="14">
        <f>B191+C191-D191</f>
        <v>41786170141</v>
      </c>
      <c r="F191" s="14">
        <v>2695584707</v>
      </c>
      <c r="G191" s="14"/>
      <c r="H191" s="14">
        <f>F191+G191</f>
        <v>2695584707</v>
      </c>
      <c r="I191" s="37">
        <f>H191+10945315159</f>
        <v>13640899866</v>
      </c>
      <c r="J191" s="15">
        <f t="shared" si="33"/>
        <v>6.450901573186125</v>
      </c>
      <c r="K191" s="15">
        <f t="shared" si="34"/>
        <v>67.35546756266197</v>
      </c>
    </row>
    <row r="192" spans="1:11" ht="13.5">
      <c r="A192" s="39" t="s">
        <v>38</v>
      </c>
      <c r="B192" s="26">
        <v>5945075870</v>
      </c>
      <c r="C192" s="14"/>
      <c r="D192" s="14"/>
      <c r="E192" s="14">
        <f>B192+C192-D192</f>
        <v>5945075870</v>
      </c>
      <c r="F192" s="14"/>
      <c r="G192" s="14"/>
      <c r="H192" s="14">
        <f>F192+G192</f>
        <v>0</v>
      </c>
      <c r="I192" s="37">
        <f>H192+701736064</f>
        <v>701736064</v>
      </c>
      <c r="J192" s="15">
        <f t="shared" si="33"/>
        <v>0</v>
      </c>
      <c r="K192" s="15">
        <f t="shared" si="34"/>
        <v>88.19634804761542</v>
      </c>
    </row>
    <row r="193" spans="1:11" ht="12.75">
      <c r="A193" s="11" t="s">
        <v>13</v>
      </c>
      <c r="B193" s="12">
        <f>B177+B188+B190</f>
        <v>76993004202</v>
      </c>
      <c r="C193" s="12">
        <f>C190++C188+C177</f>
        <v>1727306562</v>
      </c>
      <c r="D193" s="12">
        <f>D190++D188+D177</f>
        <v>0</v>
      </c>
      <c r="E193" s="12">
        <f>E190+E188+E177</f>
        <v>78720310764</v>
      </c>
      <c r="F193" s="12">
        <f>F190+F188+F177</f>
        <v>4172751053</v>
      </c>
      <c r="G193" s="12">
        <f>G190+G188+G177</f>
        <v>69568784</v>
      </c>
      <c r="H193" s="12">
        <f>H190+H188+H177</f>
        <v>4242319837</v>
      </c>
      <c r="I193" s="12">
        <f>I190+I188+I177</f>
        <v>19614947601</v>
      </c>
      <c r="J193" s="13">
        <f t="shared" si="33"/>
        <v>5.389104534556891</v>
      </c>
      <c r="K193" s="13">
        <f t="shared" si="34"/>
        <v>75.08273606819878</v>
      </c>
    </row>
    <row r="194" spans="1:11" ht="12.75">
      <c r="A194" s="21"/>
      <c r="B194" s="22"/>
      <c r="C194" s="22"/>
      <c r="D194" s="22"/>
      <c r="E194" s="22"/>
      <c r="F194" s="22"/>
      <c r="G194" s="22"/>
      <c r="H194" s="22"/>
      <c r="I194" s="23"/>
      <c r="J194" s="24"/>
      <c r="K194" s="24"/>
    </row>
    <row r="195" spans="1:11" ht="12.75">
      <c r="A195" s="21"/>
      <c r="B195" s="22"/>
      <c r="C195" s="22"/>
      <c r="D195" s="22"/>
      <c r="E195" s="22"/>
      <c r="F195" s="22"/>
      <c r="G195" s="22"/>
      <c r="H195" s="22"/>
      <c r="I195" s="23"/>
      <c r="J195" s="24"/>
      <c r="K195" s="24"/>
    </row>
    <row r="196" spans="1:11" ht="12.75">
      <c r="A196" s="1"/>
      <c r="B196" s="22"/>
      <c r="C196" s="22"/>
      <c r="D196" s="22"/>
      <c r="E196" s="22"/>
      <c r="F196" s="22"/>
      <c r="G196" s="22"/>
      <c r="H196" s="22"/>
      <c r="I196" s="23"/>
      <c r="J196" s="24"/>
      <c r="K196" s="24"/>
    </row>
    <row r="197" spans="2:6" ht="12.75">
      <c r="B197" s="27"/>
      <c r="F197" s="22"/>
    </row>
    <row r="198" spans="2:8" ht="12.75">
      <c r="B198" s="27"/>
      <c r="E198" s="27"/>
      <c r="F198" s="43"/>
      <c r="H198" s="8"/>
    </row>
    <row r="199" spans="1:8" ht="12.75">
      <c r="A199" s="1"/>
      <c r="B199" s="27"/>
      <c r="E199" s="27"/>
      <c r="H199" s="8"/>
    </row>
    <row r="200" spans="2:8" ht="12.75">
      <c r="B200" s="27"/>
      <c r="F200" s="1"/>
      <c r="H200" s="8"/>
    </row>
    <row r="201" spans="1:8" ht="12.75">
      <c r="A201" s="9" t="s">
        <v>52</v>
      </c>
      <c r="B201" s="27"/>
      <c r="E201" s="27"/>
      <c r="F201" s="1"/>
      <c r="H201" s="8"/>
    </row>
    <row r="202" spans="1:8" ht="12.75">
      <c r="A202" t="s">
        <v>53</v>
      </c>
      <c r="B202" s="27"/>
      <c r="E202" s="27"/>
      <c r="F202" s="1"/>
      <c r="H202" s="8"/>
    </row>
    <row r="203" spans="2:8" ht="12.75">
      <c r="B203" s="27"/>
      <c r="E203" s="27"/>
      <c r="F203" s="1"/>
      <c r="H203" s="8"/>
    </row>
    <row r="204" spans="2:8" ht="12.75">
      <c r="B204" s="27"/>
      <c r="E204" s="27"/>
      <c r="F204" s="1"/>
      <c r="H204" s="8"/>
    </row>
    <row r="205" spans="2:8" ht="12.75">
      <c r="B205" s="27"/>
      <c r="F205" s="1"/>
      <c r="H205" s="8"/>
    </row>
    <row r="206" spans="2:8" ht="13.5" thickBot="1">
      <c r="B206" s="27"/>
      <c r="F206" s="1"/>
      <c r="H206" s="8"/>
    </row>
    <row r="207" spans="1:11" ht="15.75" customHeight="1" thickBot="1">
      <c r="A207" s="16"/>
      <c r="B207" s="47" t="s">
        <v>23</v>
      </c>
      <c r="C207" s="48"/>
      <c r="D207" s="48"/>
      <c r="E207" s="48"/>
      <c r="F207" s="48"/>
      <c r="G207" s="48"/>
      <c r="H207" s="48"/>
      <c r="I207" s="48"/>
      <c r="J207" s="49"/>
      <c r="K207" s="20" t="s">
        <v>27</v>
      </c>
    </row>
    <row r="208" spans="1:11" ht="26.25" customHeight="1" thickBot="1">
      <c r="A208" s="17"/>
      <c r="B208" s="47" t="s">
        <v>24</v>
      </c>
      <c r="C208" s="48"/>
      <c r="D208" s="48"/>
      <c r="E208" s="48"/>
      <c r="F208" s="48"/>
      <c r="G208" s="48"/>
      <c r="H208" s="48"/>
      <c r="I208" s="48"/>
      <c r="J208" s="49"/>
      <c r="K208" s="18" t="s">
        <v>28</v>
      </c>
    </row>
    <row r="209" spans="1:11" ht="15.75" customHeight="1" thickBot="1">
      <c r="A209" s="17"/>
      <c r="B209" s="47" t="s">
        <v>25</v>
      </c>
      <c r="C209" s="48"/>
      <c r="D209" s="48"/>
      <c r="E209" s="48"/>
      <c r="F209" s="48"/>
      <c r="G209" s="48"/>
      <c r="H209" s="48"/>
      <c r="I209" s="48"/>
      <c r="J209" s="49"/>
      <c r="K209" s="45" t="s">
        <v>26</v>
      </c>
    </row>
    <row r="210" spans="1:11" ht="15.75" customHeight="1" thickBot="1">
      <c r="A210" s="19"/>
      <c r="B210" s="47" t="s">
        <v>51</v>
      </c>
      <c r="C210" s="48"/>
      <c r="D210" s="48"/>
      <c r="E210" s="48"/>
      <c r="F210" s="48"/>
      <c r="G210" s="48"/>
      <c r="H210" s="48"/>
      <c r="I210" s="48"/>
      <c r="J210" s="49"/>
      <c r="K210" s="46"/>
    </row>
    <row r="212" spans="1:11" ht="12.75">
      <c r="A212" s="50" t="s">
        <v>47</v>
      </c>
      <c r="B212" s="50"/>
      <c r="C212" s="50"/>
      <c r="D212" s="50"/>
      <c r="E212" s="50"/>
      <c r="F212" s="50"/>
      <c r="G212" s="50"/>
      <c r="H212" s="50"/>
      <c r="I212" s="50"/>
      <c r="J212" s="50"/>
      <c r="K212" s="30"/>
    </row>
    <row r="213" spans="1:11" ht="12.7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</row>
    <row r="215" spans="1:11" ht="13.5">
      <c r="A215" s="51" t="s">
        <v>21</v>
      </c>
      <c r="B215" s="5" t="s">
        <v>14</v>
      </c>
      <c r="C215" s="29" t="s">
        <v>31</v>
      </c>
      <c r="D215" s="5" t="s">
        <v>16</v>
      </c>
      <c r="E215" s="33" t="s">
        <v>17</v>
      </c>
      <c r="F215" s="5" t="s">
        <v>20</v>
      </c>
      <c r="G215" s="35" t="s">
        <v>0</v>
      </c>
      <c r="H215" s="6" t="s">
        <v>19</v>
      </c>
      <c r="I215" s="29" t="s">
        <v>36</v>
      </c>
      <c r="J215" s="5" t="s">
        <v>22</v>
      </c>
      <c r="K215" s="29" t="s">
        <v>22</v>
      </c>
    </row>
    <row r="216" spans="1:11" ht="13.5">
      <c r="A216" s="52"/>
      <c r="B216" s="7" t="s">
        <v>15</v>
      </c>
      <c r="C216" s="7"/>
      <c r="D216" s="7"/>
      <c r="E216" s="34" t="s">
        <v>18</v>
      </c>
      <c r="F216" s="32" t="s">
        <v>33</v>
      </c>
      <c r="G216" s="36" t="s">
        <v>33</v>
      </c>
      <c r="H216" s="32" t="s">
        <v>34</v>
      </c>
      <c r="I216" s="32"/>
      <c r="J216" s="32" t="s">
        <v>37</v>
      </c>
      <c r="K216" s="32" t="s">
        <v>35</v>
      </c>
    </row>
    <row r="217" spans="1:11" ht="13.5">
      <c r="A217" s="2"/>
      <c r="J217" s="31"/>
      <c r="K217" s="31"/>
    </row>
    <row r="218" spans="1:11" ht="13.5">
      <c r="A218" s="3" t="s">
        <v>1</v>
      </c>
      <c r="B218" s="12">
        <f>B219+B224</f>
        <v>17212816851</v>
      </c>
      <c r="C218" s="12">
        <f>C219+C224</f>
        <v>0</v>
      </c>
      <c r="D218" s="12">
        <f>D219+D224+D229</f>
        <v>0</v>
      </c>
      <c r="E218" s="12">
        <f>E219+E224</f>
        <v>17212816851</v>
      </c>
      <c r="F218" s="12">
        <f>F219+F224</f>
        <v>956942242</v>
      </c>
      <c r="G218" s="12">
        <f>G219+G224</f>
        <v>62690940</v>
      </c>
      <c r="H218" s="12">
        <f>H219+H224</f>
        <v>1019633182</v>
      </c>
      <c r="I218" s="12">
        <f>I219+I224</f>
        <v>4309286226</v>
      </c>
      <c r="J218" s="13">
        <f aca="true" t="shared" si="39" ref="J218:J234">(H218/E218)*100</f>
        <v>5.923685767566644</v>
      </c>
      <c r="K218" s="13">
        <f aca="true" t="shared" si="40" ref="K218:K234">((E218-I218)/E218)*100</f>
        <v>74.96466578769385</v>
      </c>
    </row>
    <row r="219" spans="1:11" ht="12.75">
      <c r="A219" s="11" t="s">
        <v>2</v>
      </c>
      <c r="B219" s="12">
        <f aca="true" t="shared" si="41" ref="B219:I219">B220+B221+B223+B222</f>
        <v>16534172546</v>
      </c>
      <c r="C219" s="12">
        <f t="shared" si="41"/>
        <v>0</v>
      </c>
      <c r="D219" s="12">
        <f t="shared" si="41"/>
        <v>0</v>
      </c>
      <c r="E219" s="12">
        <f t="shared" si="41"/>
        <v>16534172546</v>
      </c>
      <c r="F219" s="12">
        <f t="shared" si="41"/>
        <v>910456113</v>
      </c>
      <c r="G219" s="12">
        <f t="shared" si="41"/>
        <v>52651926</v>
      </c>
      <c r="H219" s="12">
        <f t="shared" si="41"/>
        <v>963108039</v>
      </c>
      <c r="I219" s="12">
        <f t="shared" si="41"/>
        <v>4103169822</v>
      </c>
      <c r="J219" s="13">
        <f t="shared" si="39"/>
        <v>5.824954568004664</v>
      </c>
      <c r="K219" s="13">
        <f t="shared" si="40"/>
        <v>75.18370023909874</v>
      </c>
    </row>
    <row r="220" spans="1:11" ht="12.75">
      <c r="A220" s="10" t="s">
        <v>4</v>
      </c>
      <c r="B220" s="14">
        <v>13673580139</v>
      </c>
      <c r="C220" s="14"/>
      <c r="D220" s="14"/>
      <c r="E220" s="14">
        <f>B220+C220-D220</f>
        <v>13673580139</v>
      </c>
      <c r="F220" s="14">
        <f>591792222+86280+10872400+95828160+4096400+7236764+1866480+24424400+3173520+7496066+924000+9568560+2720160+27936939+2513280+7465920+1565720</f>
        <v>799567271</v>
      </c>
      <c r="G220" s="14">
        <f>19390123+6347040</f>
        <v>25737163</v>
      </c>
      <c r="H220" s="14">
        <f>F220+G220</f>
        <v>825304434</v>
      </c>
      <c r="I220" s="37">
        <f>H220+2140590223</f>
        <v>2965894657</v>
      </c>
      <c r="J220" s="15">
        <f t="shared" si="39"/>
        <v>6.035759659213564</v>
      </c>
      <c r="K220" s="15">
        <f t="shared" si="40"/>
        <v>78.30930431642676</v>
      </c>
    </row>
    <row r="221" spans="1:11" ht="13.5">
      <c r="A221" s="4" t="s">
        <v>3</v>
      </c>
      <c r="B221" s="14">
        <v>607692600</v>
      </c>
      <c r="C221" s="14"/>
      <c r="D221" s="14"/>
      <c r="E221" s="14">
        <f>B221+C221-D221</f>
        <v>607692600</v>
      </c>
      <c r="F221" s="14">
        <f>7110026+3217178+284000+10000+1226000</f>
        <v>11847204</v>
      </c>
      <c r="G221" s="14"/>
      <c r="H221" s="14">
        <f>F221+G221</f>
        <v>11847204</v>
      </c>
      <c r="I221" s="37">
        <f>H221+91085338</f>
        <v>102932542</v>
      </c>
      <c r="J221" s="15">
        <f t="shared" si="39"/>
        <v>1.949538960981259</v>
      </c>
      <c r="K221" s="15">
        <f t="shared" si="40"/>
        <v>83.06174174245335</v>
      </c>
    </row>
    <row r="222" spans="1:11" ht="13.5">
      <c r="A222" s="4" t="s">
        <v>41</v>
      </c>
      <c r="B222" s="14">
        <v>16300368</v>
      </c>
      <c r="C222" s="42"/>
      <c r="D222" s="14"/>
      <c r="E222" s="41">
        <f>B222+C222-D222</f>
        <v>16300368</v>
      </c>
      <c r="F222" s="14">
        <v>2204960</v>
      </c>
      <c r="G222" s="14">
        <f>1500000+750000+600000+24064763</f>
        <v>26914763</v>
      </c>
      <c r="H222" s="14">
        <f>F222+G222</f>
        <v>29119723</v>
      </c>
      <c r="I222" s="37">
        <f>H222+127822687</f>
        <v>156942410</v>
      </c>
      <c r="J222" s="15">
        <f t="shared" si="39"/>
        <v>178.64457415930733</v>
      </c>
      <c r="K222" s="15">
        <f t="shared" si="40"/>
        <v>-862.815133989613</v>
      </c>
    </row>
    <row r="223" spans="1:11" ht="13.5">
      <c r="A223" s="4" t="s">
        <v>42</v>
      </c>
      <c r="B223" s="14">
        <v>2236599439</v>
      </c>
      <c r="C223" s="14"/>
      <c r="D223" s="14"/>
      <c r="E223" s="14">
        <f>B223+C223-D223</f>
        <v>2236599439</v>
      </c>
      <c r="F223" s="14">
        <v>96836678</v>
      </c>
      <c r="G223" s="14"/>
      <c r="H223" s="14">
        <f>F223+G223</f>
        <v>96836678</v>
      </c>
      <c r="I223" s="37">
        <f>H223+780563535</f>
        <v>877400213</v>
      </c>
      <c r="J223" s="15">
        <f t="shared" si="39"/>
        <v>4.329638839724309</v>
      </c>
      <c r="K223" s="15">
        <f t="shared" si="40"/>
        <v>60.770793477785546</v>
      </c>
    </row>
    <row r="224" spans="1:11" ht="12.75">
      <c r="A224" s="11" t="s">
        <v>5</v>
      </c>
      <c r="B224" s="12">
        <f>B225+B226+B227+B228</f>
        <v>678644305</v>
      </c>
      <c r="C224" s="12">
        <f aca="true" t="shared" si="42" ref="C224:I224">C225+C226+C227+C228</f>
        <v>0</v>
      </c>
      <c r="D224" s="12">
        <f t="shared" si="42"/>
        <v>0</v>
      </c>
      <c r="E224" s="12">
        <f t="shared" si="42"/>
        <v>678644305</v>
      </c>
      <c r="F224" s="12">
        <f t="shared" si="42"/>
        <v>46486129</v>
      </c>
      <c r="G224" s="12">
        <f t="shared" si="42"/>
        <v>10039014</v>
      </c>
      <c r="H224" s="12">
        <f t="shared" si="42"/>
        <v>56525143</v>
      </c>
      <c r="I224" s="12">
        <f t="shared" si="42"/>
        <v>206116404</v>
      </c>
      <c r="J224" s="13">
        <f t="shared" si="39"/>
        <v>8.329126551795053</v>
      </c>
      <c r="K224" s="13">
        <f t="shared" si="40"/>
        <v>69.62821282350554</v>
      </c>
    </row>
    <row r="225" spans="1:11" ht="13.5">
      <c r="A225" s="4" t="s">
        <v>6</v>
      </c>
      <c r="B225" s="14">
        <v>51567683</v>
      </c>
      <c r="C225" s="14"/>
      <c r="D225" s="14"/>
      <c r="E225" s="14">
        <f>B225+C225-D225</f>
        <v>51567683</v>
      </c>
      <c r="F225" s="14">
        <v>5804932</v>
      </c>
      <c r="G225" s="14">
        <v>1754380</v>
      </c>
      <c r="H225" s="14">
        <f>F225+G225</f>
        <v>7559312</v>
      </c>
      <c r="I225" s="37">
        <f>H225+12903205</f>
        <v>20462517</v>
      </c>
      <c r="J225" s="15">
        <f t="shared" si="39"/>
        <v>14.6590103728337</v>
      </c>
      <c r="K225" s="15">
        <f t="shared" si="40"/>
        <v>60.31910722069866</v>
      </c>
    </row>
    <row r="226" spans="1:11" ht="13.5">
      <c r="A226" s="4" t="s">
        <v>7</v>
      </c>
      <c r="B226" s="14">
        <v>3164642</v>
      </c>
      <c r="C226" s="14"/>
      <c r="D226" s="14"/>
      <c r="E226" s="14">
        <f>B226+C226-D226</f>
        <v>3164642</v>
      </c>
      <c r="F226" s="14">
        <v>4769988</v>
      </c>
      <c r="G226" s="14"/>
      <c r="H226" s="14">
        <f>F226+G226</f>
        <v>4769988</v>
      </c>
      <c r="I226" s="37">
        <f>H226+36156104</f>
        <v>40926092</v>
      </c>
      <c r="J226" s="15">
        <f t="shared" si="39"/>
        <v>150.7275704487269</v>
      </c>
      <c r="K226" s="15">
        <f t="shared" si="40"/>
        <v>-1193.2297555300095</v>
      </c>
    </row>
    <row r="227" spans="1:11" ht="13.5">
      <c r="A227" s="4" t="s">
        <v>8</v>
      </c>
      <c r="B227" s="14">
        <v>620146636</v>
      </c>
      <c r="C227" s="14"/>
      <c r="D227" s="14"/>
      <c r="E227" s="14">
        <f>B227+C227-D227</f>
        <v>620146636</v>
      </c>
      <c r="F227" s="14">
        <f>3802729+28867336+2294730</f>
        <v>34964795</v>
      </c>
      <c r="G227" s="14">
        <f>927153+7196079</f>
        <v>8123232</v>
      </c>
      <c r="H227" s="14">
        <f>F227+G227</f>
        <v>43088027</v>
      </c>
      <c r="I227" s="37">
        <f>H227+99210155</f>
        <v>142298182</v>
      </c>
      <c r="J227" s="15">
        <f t="shared" si="39"/>
        <v>6.948038495850198</v>
      </c>
      <c r="K227" s="15">
        <f t="shared" si="40"/>
        <v>77.05410724827345</v>
      </c>
    </row>
    <row r="228" spans="1:11" ht="13.5">
      <c r="A228" s="4" t="s">
        <v>9</v>
      </c>
      <c r="B228" s="14">
        <v>3765344</v>
      </c>
      <c r="C228" s="14"/>
      <c r="D228" s="14"/>
      <c r="E228" s="14">
        <f>B228+C228-D228</f>
        <v>3765344</v>
      </c>
      <c r="F228" s="14">
        <v>946414</v>
      </c>
      <c r="G228" s="14">
        <v>161402</v>
      </c>
      <c r="H228" s="14">
        <f>F228+G228</f>
        <v>1107816</v>
      </c>
      <c r="I228" s="37">
        <f>H228+1321797</f>
        <v>2429613</v>
      </c>
      <c r="J228" s="15">
        <f t="shared" si="39"/>
        <v>29.421375576839726</v>
      </c>
      <c r="K228" s="15">
        <f t="shared" si="40"/>
        <v>35.47434178656717</v>
      </c>
    </row>
    <row r="229" spans="1:11" ht="12.75">
      <c r="A229" s="11" t="s">
        <v>10</v>
      </c>
      <c r="B229" s="12">
        <f>B230</f>
        <v>12357111871</v>
      </c>
      <c r="C229" s="12">
        <f>C230</f>
        <v>3537689131</v>
      </c>
      <c r="D229" s="12">
        <f aca="true" t="shared" si="43" ref="D229:I229">D230</f>
        <v>0</v>
      </c>
      <c r="E229" s="12">
        <f t="shared" si="43"/>
        <v>15894801002</v>
      </c>
      <c r="F229" s="12">
        <f t="shared" si="43"/>
        <v>0</v>
      </c>
      <c r="G229" s="12">
        <f t="shared" si="43"/>
        <v>0</v>
      </c>
      <c r="H229" s="12">
        <f t="shared" si="43"/>
        <v>0</v>
      </c>
      <c r="I229" s="12">
        <f t="shared" si="43"/>
        <v>1982658627</v>
      </c>
      <c r="J229" s="13">
        <f t="shared" si="39"/>
        <v>0</v>
      </c>
      <c r="K229" s="13">
        <f t="shared" si="40"/>
        <v>87.52637024678367</v>
      </c>
    </row>
    <row r="230" spans="1:11" ht="13.5">
      <c r="A230" s="4" t="s">
        <v>29</v>
      </c>
      <c r="B230" s="14">
        <v>12357111871</v>
      </c>
      <c r="C230" s="14">
        <f>1359135391+60000000+640+2118553100</f>
        <v>3537689131</v>
      </c>
      <c r="D230" s="25"/>
      <c r="E230" s="14">
        <f>B230+C230-D230</f>
        <v>15894801002</v>
      </c>
      <c r="F230" s="14"/>
      <c r="G230" s="14">
        <v>0</v>
      </c>
      <c r="H230" s="14">
        <f>F230+G230</f>
        <v>0</v>
      </c>
      <c r="I230" s="37">
        <f>H230+1982658627</f>
        <v>1982658627</v>
      </c>
      <c r="J230" s="15">
        <f t="shared" si="39"/>
        <v>0</v>
      </c>
      <c r="K230" s="15">
        <f t="shared" si="40"/>
        <v>87.52637024678367</v>
      </c>
    </row>
    <row r="231" spans="1:11" ht="12.75">
      <c r="A231" s="11" t="s">
        <v>11</v>
      </c>
      <c r="B231" s="12">
        <f>B232+B233</f>
        <v>47423075480</v>
      </c>
      <c r="C231" s="12">
        <f>C232+C233</f>
        <v>308170531</v>
      </c>
      <c r="D231" s="12">
        <f aca="true" t="shared" si="44" ref="D231:I231">D232+D233</f>
        <v>0</v>
      </c>
      <c r="E231" s="12">
        <f t="shared" si="44"/>
        <v>47731246011</v>
      </c>
      <c r="F231" s="12">
        <f t="shared" si="44"/>
        <v>2695584707</v>
      </c>
      <c r="G231" s="12">
        <f t="shared" si="44"/>
        <v>0</v>
      </c>
      <c r="H231" s="12">
        <f t="shared" si="44"/>
        <v>2695584707</v>
      </c>
      <c r="I231" s="12">
        <f t="shared" si="44"/>
        <v>17038280637</v>
      </c>
      <c r="J231" s="12">
        <f t="shared" si="39"/>
        <v>5.647421620585358</v>
      </c>
      <c r="K231" s="12">
        <f t="shared" si="40"/>
        <v>64.30371703878544</v>
      </c>
    </row>
    <row r="232" spans="1:11" ht="13.5">
      <c r="A232" s="4" t="s">
        <v>12</v>
      </c>
      <c r="B232" s="14">
        <v>41477999610</v>
      </c>
      <c r="C232" s="14">
        <v>308170531</v>
      </c>
      <c r="D232" s="14"/>
      <c r="E232" s="14">
        <f>B232+C232-D232</f>
        <v>41786170141</v>
      </c>
      <c r="F232" s="14">
        <f>2556544119+139040588</f>
        <v>2695584707</v>
      </c>
      <c r="G232" s="14"/>
      <c r="H232" s="14">
        <f>F232+G232</f>
        <v>2695584707</v>
      </c>
      <c r="I232" s="37">
        <f>H232+13640959866</f>
        <v>16336544573</v>
      </c>
      <c r="J232" s="15">
        <f t="shared" si="39"/>
        <v>6.450901573186125</v>
      </c>
      <c r="K232" s="15">
        <f t="shared" si="40"/>
        <v>60.90442240129872</v>
      </c>
    </row>
    <row r="233" spans="1:11" ht="13.5">
      <c r="A233" s="39" t="s">
        <v>38</v>
      </c>
      <c r="B233" s="26">
        <v>5945075870</v>
      </c>
      <c r="C233" s="14"/>
      <c r="D233" s="14"/>
      <c r="E233" s="14">
        <f>B233+C233-D233</f>
        <v>5945075870</v>
      </c>
      <c r="F233" s="14"/>
      <c r="G233" s="14"/>
      <c r="H233" s="14">
        <f>F233+G233</f>
        <v>0</v>
      </c>
      <c r="I233" s="37">
        <f>H233+I192</f>
        <v>701736064</v>
      </c>
      <c r="J233" s="15">
        <f t="shared" si="39"/>
        <v>0</v>
      </c>
      <c r="K233" s="15">
        <f t="shared" si="40"/>
        <v>88.19634804761542</v>
      </c>
    </row>
    <row r="234" spans="1:11" ht="12.75">
      <c r="A234" s="11" t="s">
        <v>13</v>
      </c>
      <c r="B234" s="12">
        <f>B218+B229+B231</f>
        <v>76993004202</v>
      </c>
      <c r="C234" s="12">
        <f>C231++C229+C218</f>
        <v>3845859662</v>
      </c>
      <c r="D234" s="12">
        <f>D231++D229+D218</f>
        <v>0</v>
      </c>
      <c r="E234" s="12">
        <f>E231+E229+E218</f>
        <v>80838863864</v>
      </c>
      <c r="F234" s="12">
        <f>F231+F229+F218</f>
        <v>3652526949</v>
      </c>
      <c r="G234" s="12">
        <f>G231+G229+G218</f>
        <v>62690940</v>
      </c>
      <c r="H234" s="12">
        <f>H231+H229+H218</f>
        <v>3715217889</v>
      </c>
      <c r="I234" s="12">
        <f>I231+I229+I218</f>
        <v>23330225490</v>
      </c>
      <c r="J234" s="13">
        <f t="shared" si="39"/>
        <v>4.595831400167042</v>
      </c>
      <c r="K234" s="13">
        <f t="shared" si="40"/>
        <v>71.13983995464135</v>
      </c>
    </row>
    <row r="235" spans="1:11" ht="12.75">
      <c r="A235" s="21"/>
      <c r="B235" s="22"/>
      <c r="C235" s="22"/>
      <c r="D235" s="22"/>
      <c r="E235" s="22"/>
      <c r="F235" s="22"/>
      <c r="G235" s="22"/>
      <c r="H235" s="22"/>
      <c r="I235" s="23"/>
      <c r="J235" s="24"/>
      <c r="K235" s="24"/>
    </row>
    <row r="236" spans="1:11" ht="12.75">
      <c r="A236" s="21"/>
      <c r="B236" s="22"/>
      <c r="C236" s="22"/>
      <c r="D236" s="22"/>
      <c r="E236" s="22"/>
      <c r="F236" s="22"/>
      <c r="G236" s="22"/>
      <c r="H236" s="22"/>
      <c r="I236" s="23"/>
      <c r="J236" s="24"/>
      <c r="K236" s="24"/>
    </row>
    <row r="237" spans="1:11" ht="12.75">
      <c r="A237" s="1"/>
      <c r="B237" s="22"/>
      <c r="C237" s="22"/>
      <c r="D237" s="22"/>
      <c r="E237" s="22"/>
      <c r="F237" s="22"/>
      <c r="G237" s="22"/>
      <c r="H237" s="22"/>
      <c r="I237" s="23"/>
      <c r="J237" s="24"/>
      <c r="K237" s="24"/>
    </row>
    <row r="238" spans="2:6" ht="12.75">
      <c r="B238" s="27"/>
      <c r="F238" s="22"/>
    </row>
    <row r="239" spans="2:8" ht="12.75">
      <c r="B239" s="27"/>
      <c r="E239" s="27"/>
      <c r="F239" s="43"/>
      <c r="H239" s="8"/>
    </row>
    <row r="240" spans="1:8" ht="12.75">
      <c r="A240" s="1"/>
      <c r="B240" s="27"/>
      <c r="E240" s="27"/>
      <c r="H240" s="8"/>
    </row>
    <row r="241" spans="2:8" ht="12.75">
      <c r="B241" s="27"/>
      <c r="F241" s="1"/>
      <c r="H241" s="8"/>
    </row>
    <row r="242" spans="1:8" ht="12.75">
      <c r="A242" s="9" t="s">
        <v>52</v>
      </c>
      <c r="B242" s="27"/>
      <c r="E242" s="27"/>
      <c r="F242" s="1"/>
      <c r="H242" s="8"/>
    </row>
    <row r="243" spans="1:8" ht="12.75">
      <c r="A243" t="s">
        <v>54</v>
      </c>
      <c r="B243" s="27"/>
      <c r="E243" s="27"/>
      <c r="F243" s="1"/>
      <c r="H243" s="8"/>
    </row>
    <row r="244" spans="2:8" ht="12.75">
      <c r="B244" s="27"/>
      <c r="E244" s="27"/>
      <c r="F244" s="1"/>
      <c r="H244" s="8"/>
    </row>
    <row r="245" spans="2:8" ht="12.75">
      <c r="B245" s="27"/>
      <c r="E245" s="27"/>
      <c r="F245" s="1"/>
      <c r="H245" s="8"/>
    </row>
    <row r="246" spans="2:8" ht="12.75">
      <c r="B246" s="27"/>
      <c r="F246" s="1"/>
      <c r="H246" s="8"/>
    </row>
    <row r="247" spans="2:8" ht="13.5" thickBot="1">
      <c r="B247" s="27"/>
      <c r="F247" s="1"/>
      <c r="H247" s="8"/>
    </row>
    <row r="248" spans="1:11" ht="15.75" customHeight="1" thickBot="1">
      <c r="A248" s="16"/>
      <c r="B248" s="47" t="s">
        <v>23</v>
      </c>
      <c r="C248" s="48"/>
      <c r="D248" s="48"/>
      <c r="E248" s="48"/>
      <c r="F248" s="48"/>
      <c r="G248" s="48"/>
      <c r="H248" s="48"/>
      <c r="I248" s="48"/>
      <c r="J248" s="49"/>
      <c r="K248" s="20" t="s">
        <v>27</v>
      </c>
    </row>
    <row r="249" spans="1:11" ht="26.25" customHeight="1" thickBot="1">
      <c r="A249" s="17"/>
      <c r="B249" s="47" t="s">
        <v>24</v>
      </c>
      <c r="C249" s="48"/>
      <c r="D249" s="48"/>
      <c r="E249" s="48"/>
      <c r="F249" s="48"/>
      <c r="G249" s="48"/>
      <c r="H249" s="48"/>
      <c r="I249" s="48"/>
      <c r="J249" s="49"/>
      <c r="K249" s="18" t="s">
        <v>28</v>
      </c>
    </row>
    <row r="250" spans="1:11" ht="15.75" customHeight="1" thickBot="1">
      <c r="A250" s="17"/>
      <c r="B250" s="47" t="s">
        <v>25</v>
      </c>
      <c r="C250" s="48"/>
      <c r="D250" s="48"/>
      <c r="E250" s="48"/>
      <c r="F250" s="48"/>
      <c r="G250" s="48"/>
      <c r="H250" s="48"/>
      <c r="I250" s="48"/>
      <c r="J250" s="49"/>
      <c r="K250" s="45" t="s">
        <v>26</v>
      </c>
    </row>
    <row r="251" spans="1:11" ht="15.75" customHeight="1" thickBot="1">
      <c r="A251" s="19"/>
      <c r="B251" s="47" t="s">
        <v>51</v>
      </c>
      <c r="C251" s="48"/>
      <c r="D251" s="48"/>
      <c r="E251" s="48"/>
      <c r="F251" s="48"/>
      <c r="G251" s="48"/>
      <c r="H251" s="48"/>
      <c r="I251" s="48"/>
      <c r="J251" s="49"/>
      <c r="K251" s="46"/>
    </row>
    <row r="253" spans="1:11" ht="12.75">
      <c r="A253" s="50" t="s">
        <v>48</v>
      </c>
      <c r="B253" s="50"/>
      <c r="C253" s="50"/>
      <c r="D253" s="50"/>
      <c r="E253" s="50"/>
      <c r="F253" s="50"/>
      <c r="G253" s="50"/>
      <c r="H253" s="50"/>
      <c r="I253" s="50"/>
      <c r="J253" s="50"/>
      <c r="K253" s="30"/>
    </row>
    <row r="254" spans="1:11" ht="12.7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</row>
    <row r="256" spans="1:11" ht="13.5">
      <c r="A256" s="51" t="s">
        <v>21</v>
      </c>
      <c r="B256" s="5" t="s">
        <v>14</v>
      </c>
      <c r="C256" s="29" t="s">
        <v>31</v>
      </c>
      <c r="D256" s="5" t="s">
        <v>16</v>
      </c>
      <c r="E256" s="33" t="s">
        <v>17</v>
      </c>
      <c r="F256" s="5" t="s">
        <v>20</v>
      </c>
      <c r="G256" s="35" t="s">
        <v>0</v>
      </c>
      <c r="H256" s="6" t="s">
        <v>19</v>
      </c>
      <c r="I256" s="29" t="s">
        <v>36</v>
      </c>
      <c r="J256" s="5" t="s">
        <v>22</v>
      </c>
      <c r="K256" s="29" t="s">
        <v>22</v>
      </c>
    </row>
    <row r="257" spans="1:11" ht="13.5">
      <c r="A257" s="52"/>
      <c r="B257" s="7" t="s">
        <v>15</v>
      </c>
      <c r="C257" s="7"/>
      <c r="D257" s="7"/>
      <c r="E257" s="34" t="s">
        <v>18</v>
      </c>
      <c r="F257" s="32" t="s">
        <v>33</v>
      </c>
      <c r="G257" s="36" t="s">
        <v>33</v>
      </c>
      <c r="H257" s="32" t="s">
        <v>34</v>
      </c>
      <c r="I257" s="32"/>
      <c r="J257" s="32" t="s">
        <v>37</v>
      </c>
      <c r="K257" s="32" t="s">
        <v>35</v>
      </c>
    </row>
    <row r="258" spans="1:11" ht="13.5">
      <c r="A258" s="2"/>
      <c r="J258" s="31"/>
      <c r="K258" s="31"/>
    </row>
    <row r="259" spans="1:11" ht="13.5">
      <c r="A259" s="3" t="s">
        <v>1</v>
      </c>
      <c r="B259" s="12">
        <f>B260+B265</f>
        <v>17212816851</v>
      </c>
      <c r="C259" s="12">
        <f>C260+C265</f>
        <v>0</v>
      </c>
      <c r="D259" s="12">
        <f>D260+D265+D270</f>
        <v>0</v>
      </c>
      <c r="E259" s="12">
        <f>E260+E265</f>
        <v>17212816851</v>
      </c>
      <c r="F259" s="12">
        <f>F260+F265</f>
        <v>1163706699</v>
      </c>
      <c r="G259" s="12">
        <f>G260+G265</f>
        <v>133496822</v>
      </c>
      <c r="H259" s="12">
        <f>H260+H265</f>
        <v>1297203521</v>
      </c>
      <c r="I259" s="12">
        <f>I260+I265</f>
        <v>5606489747</v>
      </c>
      <c r="J259" s="13">
        <f aca="true" t="shared" si="45" ref="J259:J275">(H259/E259)*100</f>
        <v>7.5362651693156035</v>
      </c>
      <c r="K259" s="13">
        <f aca="true" t="shared" si="46" ref="K259:K275">((E259-I259)/E259)*100</f>
        <v>67.42840061837825</v>
      </c>
    </row>
    <row r="260" spans="1:11" ht="12.75">
      <c r="A260" s="11" t="s">
        <v>2</v>
      </c>
      <c r="B260" s="12">
        <f aca="true" t="shared" si="47" ref="B260:I260">B261+B262+B264+B263</f>
        <v>16534172546</v>
      </c>
      <c r="C260" s="12">
        <f t="shared" si="47"/>
        <v>0</v>
      </c>
      <c r="D260" s="12">
        <f t="shared" si="47"/>
        <v>0</v>
      </c>
      <c r="E260" s="12">
        <f t="shared" si="47"/>
        <v>16534172546</v>
      </c>
      <c r="F260" s="12">
        <f t="shared" si="47"/>
        <v>1148165116</v>
      </c>
      <c r="G260" s="12">
        <f t="shared" si="47"/>
        <v>126482553</v>
      </c>
      <c r="H260" s="12">
        <f t="shared" si="47"/>
        <v>1274647669</v>
      </c>
      <c r="I260" s="12">
        <f t="shared" si="47"/>
        <v>5377817491</v>
      </c>
      <c r="J260" s="13">
        <f t="shared" si="45"/>
        <v>7.709171205597263</v>
      </c>
      <c r="K260" s="13">
        <f t="shared" si="46"/>
        <v>67.47452903350147</v>
      </c>
    </row>
    <row r="261" spans="1:11" ht="12.75">
      <c r="A261" s="10" t="s">
        <v>4</v>
      </c>
      <c r="B261" s="14">
        <v>13673580139</v>
      </c>
      <c r="C261" s="14"/>
      <c r="D261" s="14"/>
      <c r="E261" s="14">
        <f>B261+C261-D261</f>
        <v>13673580139</v>
      </c>
      <c r="F261" s="14">
        <f>699342340+23480+1158080+22543870+3080000+8388538+3106165+34372800+32612349+6962067+702240+6227550+1589280+18590880</f>
        <v>838699639</v>
      </c>
      <c r="G261" s="14">
        <f>67688096+21761280+5156970</f>
        <v>94606346</v>
      </c>
      <c r="H261" s="14">
        <f>F261+G261</f>
        <v>933305985</v>
      </c>
      <c r="I261" s="37">
        <f>H261+2965894657</f>
        <v>3899200642</v>
      </c>
      <c r="J261" s="15">
        <f t="shared" si="45"/>
        <v>6.825615351008256</v>
      </c>
      <c r="K261" s="15">
        <f t="shared" si="46"/>
        <v>71.48368896541851</v>
      </c>
    </row>
    <row r="262" spans="1:11" ht="13.5">
      <c r="A262" s="4" t="s">
        <v>3</v>
      </c>
      <c r="B262" s="14">
        <v>607692600</v>
      </c>
      <c r="C262" s="14"/>
      <c r="D262" s="14"/>
      <c r="E262" s="14">
        <f>B262+C262-D262</f>
        <v>607692600</v>
      </c>
      <c r="F262" s="14">
        <v>22035483</v>
      </c>
      <c r="G262" s="14">
        <f>1500000+750000+600000+25291327</f>
        <v>28141327</v>
      </c>
      <c r="H262" s="14">
        <f>F262+G262</f>
        <v>50176810</v>
      </c>
      <c r="I262" s="37">
        <f>H262+102932542</f>
        <v>153109352</v>
      </c>
      <c r="J262" s="15">
        <f t="shared" si="45"/>
        <v>8.256939446029127</v>
      </c>
      <c r="K262" s="15">
        <f t="shared" si="46"/>
        <v>74.80480229642421</v>
      </c>
    </row>
    <row r="263" spans="1:11" ht="13.5">
      <c r="A263" s="4" t="s">
        <v>41</v>
      </c>
      <c r="B263" s="14">
        <v>16300368</v>
      </c>
      <c r="C263" s="42"/>
      <c r="D263" s="14"/>
      <c r="E263" s="41">
        <f>B263+C263-D263</f>
        <v>16300368</v>
      </c>
      <c r="F263" s="14">
        <f>4585702+7705720+336000+1275000+929000+8662815</f>
        <v>23494237</v>
      </c>
      <c r="G263" s="14">
        <v>3734880</v>
      </c>
      <c r="H263" s="14">
        <f>F263+G263</f>
        <v>27229117</v>
      </c>
      <c r="I263" s="37">
        <f>H263+156942410</f>
        <v>184171527</v>
      </c>
      <c r="J263" s="15">
        <f t="shared" si="45"/>
        <v>167.0460262001447</v>
      </c>
      <c r="K263" s="15">
        <f t="shared" si="46"/>
        <v>-1029.8611601897576</v>
      </c>
    </row>
    <row r="264" spans="1:11" ht="13.5">
      <c r="A264" s="4" t="s">
        <v>42</v>
      </c>
      <c r="B264" s="14">
        <v>2236599439</v>
      </c>
      <c r="C264" s="14"/>
      <c r="D264" s="14"/>
      <c r="E264" s="14">
        <f>B264+C264-D264</f>
        <v>2236599439</v>
      </c>
      <c r="F264" s="14">
        <v>263935757</v>
      </c>
      <c r="G264" s="14"/>
      <c r="H264" s="14">
        <f>F264+G264</f>
        <v>263935757</v>
      </c>
      <c r="I264" s="37">
        <f>H264+877400213</f>
        <v>1141335970</v>
      </c>
      <c r="J264" s="15">
        <f t="shared" si="45"/>
        <v>11.800761119657958</v>
      </c>
      <c r="K264" s="15">
        <f t="shared" si="46"/>
        <v>48.97003235812758</v>
      </c>
    </row>
    <row r="265" spans="1:11" ht="12.75">
      <c r="A265" s="11" t="s">
        <v>5</v>
      </c>
      <c r="B265" s="12">
        <f>B266+B267+B268+B269</f>
        <v>678644305</v>
      </c>
      <c r="C265" s="12">
        <f aca="true" t="shared" si="48" ref="C265:I265">C266+C267+C268+C269</f>
        <v>0</v>
      </c>
      <c r="D265" s="12">
        <f t="shared" si="48"/>
        <v>0</v>
      </c>
      <c r="E265" s="12">
        <f t="shared" si="48"/>
        <v>678644305</v>
      </c>
      <c r="F265" s="12">
        <f t="shared" si="48"/>
        <v>15541583</v>
      </c>
      <c r="G265" s="12">
        <f t="shared" si="48"/>
        <v>7014269</v>
      </c>
      <c r="H265" s="12">
        <f t="shared" si="48"/>
        <v>22555852</v>
      </c>
      <c r="I265" s="12">
        <f t="shared" si="48"/>
        <v>228672256</v>
      </c>
      <c r="J265" s="13">
        <f t="shared" si="45"/>
        <v>3.323663343789498</v>
      </c>
      <c r="K265" s="13">
        <f t="shared" si="46"/>
        <v>66.30454947971603</v>
      </c>
    </row>
    <row r="266" spans="1:11" ht="13.5">
      <c r="A266" s="4" t="s">
        <v>6</v>
      </c>
      <c r="B266" s="14">
        <v>51567683</v>
      </c>
      <c r="C266" s="14"/>
      <c r="D266" s="14"/>
      <c r="E266" s="14">
        <f>B266+C266-D266</f>
        <v>51567683</v>
      </c>
      <c r="F266" s="14">
        <v>940123</v>
      </c>
      <c r="G266" s="14">
        <v>238990</v>
      </c>
      <c r="H266" s="14">
        <f>F266+G266</f>
        <v>1179113</v>
      </c>
      <c r="I266" s="37">
        <f>H266+20462517</f>
        <v>21641630</v>
      </c>
      <c r="J266" s="15">
        <f t="shared" si="45"/>
        <v>2.286534766357449</v>
      </c>
      <c r="K266" s="15">
        <f t="shared" si="46"/>
        <v>58.03257245434123</v>
      </c>
    </row>
    <row r="267" spans="1:11" ht="13.5">
      <c r="A267" s="4" t="s">
        <v>7</v>
      </c>
      <c r="B267" s="14">
        <v>3164642</v>
      </c>
      <c r="C267" s="14"/>
      <c r="D267" s="14"/>
      <c r="E267" s="14">
        <f>B267+C267-D267</f>
        <v>3164642</v>
      </c>
      <c r="F267" s="14">
        <v>5931901</v>
      </c>
      <c r="G267" s="14"/>
      <c r="H267" s="14">
        <f>F267+G267</f>
        <v>5931901</v>
      </c>
      <c r="I267" s="37">
        <f>H267+40926092</f>
        <v>46857993</v>
      </c>
      <c r="J267" s="15">
        <f t="shared" si="45"/>
        <v>187.4430346307734</v>
      </c>
      <c r="K267" s="15">
        <f t="shared" si="46"/>
        <v>-1380.6727901607828</v>
      </c>
    </row>
    <row r="268" spans="1:11" ht="13.5">
      <c r="A268" s="4" t="s">
        <v>8</v>
      </c>
      <c r="B268" s="14">
        <v>620146636</v>
      </c>
      <c r="C268" s="14"/>
      <c r="D268" s="14"/>
      <c r="E268" s="14">
        <f>B268+C268-D268</f>
        <v>620146636</v>
      </c>
      <c r="F268" s="14">
        <f>384945+6131925+1991600</f>
        <v>8508470</v>
      </c>
      <c r="G268" s="14">
        <f>5761843+1013436</f>
        <v>6775279</v>
      </c>
      <c r="H268" s="14">
        <f>F268+G268</f>
        <v>15283749</v>
      </c>
      <c r="I268" s="37">
        <f>H268+142298182</f>
        <v>157581931</v>
      </c>
      <c r="J268" s="15">
        <f t="shared" si="45"/>
        <v>2.4645379193833117</v>
      </c>
      <c r="K268" s="15">
        <f t="shared" si="46"/>
        <v>74.58956932889015</v>
      </c>
    </row>
    <row r="269" spans="1:11" ht="13.5">
      <c r="A269" s="4" t="s">
        <v>9</v>
      </c>
      <c r="B269" s="14">
        <v>3765344</v>
      </c>
      <c r="C269" s="14"/>
      <c r="D269" s="14"/>
      <c r="E269" s="14">
        <f>B269+C269-D269</f>
        <v>3765344</v>
      </c>
      <c r="F269" s="14">
        <v>161089</v>
      </c>
      <c r="G269" s="14"/>
      <c r="H269" s="14">
        <f>F269+G269</f>
        <v>161089</v>
      </c>
      <c r="I269" s="37">
        <f>H269+2429613</f>
        <v>2590702</v>
      </c>
      <c r="J269" s="15">
        <f t="shared" si="45"/>
        <v>4.278201407361452</v>
      </c>
      <c r="K269" s="15">
        <f t="shared" si="46"/>
        <v>31.196140379205723</v>
      </c>
    </row>
    <row r="270" spans="1:11" ht="12.75">
      <c r="A270" s="11" t="s">
        <v>10</v>
      </c>
      <c r="B270" s="12">
        <f>B271</f>
        <v>12357111871</v>
      </c>
      <c r="C270" s="12">
        <f>C271</f>
        <v>12305618435</v>
      </c>
      <c r="D270" s="12">
        <f aca="true" t="shared" si="49" ref="D270:I270">D271</f>
        <v>0</v>
      </c>
      <c r="E270" s="12">
        <f t="shared" si="49"/>
        <v>24662730306</v>
      </c>
      <c r="F270" s="12">
        <f t="shared" si="49"/>
        <v>1758837699</v>
      </c>
      <c r="G270" s="12">
        <f t="shared" si="49"/>
        <v>0</v>
      </c>
      <c r="H270" s="12">
        <f t="shared" si="49"/>
        <v>1758837699</v>
      </c>
      <c r="I270" s="12">
        <f t="shared" si="49"/>
        <v>3741496326</v>
      </c>
      <c r="J270" s="13">
        <f t="shared" si="45"/>
        <v>7.13156117419857</v>
      </c>
      <c r="K270" s="13">
        <f t="shared" si="46"/>
        <v>84.82935068592239</v>
      </c>
    </row>
    <row r="271" spans="1:11" ht="13.5">
      <c r="A271" s="4" t="s">
        <v>29</v>
      </c>
      <c r="B271" s="14">
        <v>12357111871</v>
      </c>
      <c r="C271" s="14">
        <f>1359135391+60000000+640+2118553100+30000000+8737929304</f>
        <v>12305618435</v>
      </c>
      <c r="D271" s="25"/>
      <c r="E271" s="14">
        <f>B271+C271-D271</f>
        <v>24662730306</v>
      </c>
      <c r="F271" s="14">
        <v>1758837699</v>
      </c>
      <c r="G271" s="14"/>
      <c r="H271" s="14">
        <f>F271+G271</f>
        <v>1758837699</v>
      </c>
      <c r="I271" s="37">
        <f>H271+1982658627</f>
        <v>3741496326</v>
      </c>
      <c r="J271" s="15">
        <f t="shared" si="45"/>
        <v>7.13156117419857</v>
      </c>
      <c r="K271" s="15">
        <f t="shared" si="46"/>
        <v>84.82935068592239</v>
      </c>
    </row>
    <row r="272" spans="1:11" ht="12.75">
      <c r="A272" s="11" t="s">
        <v>11</v>
      </c>
      <c r="B272" s="12">
        <f>B273+B274</f>
        <v>47423075480</v>
      </c>
      <c r="C272" s="12">
        <f>C273+C274</f>
        <v>308170531</v>
      </c>
      <c r="D272" s="12">
        <f aca="true" t="shared" si="50" ref="D272:I272">D273+D274</f>
        <v>0</v>
      </c>
      <c r="E272" s="12">
        <f t="shared" si="50"/>
        <v>47731246011</v>
      </c>
      <c r="F272" s="12">
        <f t="shared" si="50"/>
        <v>6008482686</v>
      </c>
      <c r="G272" s="12">
        <f t="shared" si="50"/>
        <v>0</v>
      </c>
      <c r="H272" s="12">
        <f t="shared" si="50"/>
        <v>6008482686</v>
      </c>
      <c r="I272" s="12">
        <f t="shared" si="50"/>
        <v>23046703323</v>
      </c>
      <c r="J272" s="12">
        <f t="shared" si="45"/>
        <v>12.58815385757016</v>
      </c>
      <c r="K272" s="12">
        <f t="shared" si="46"/>
        <v>51.71568888503617</v>
      </c>
    </row>
    <row r="273" spans="1:11" ht="13.5">
      <c r="A273" s="4" t="s">
        <v>12</v>
      </c>
      <c r="B273" s="14">
        <v>41477999610</v>
      </c>
      <c r="C273" s="14">
        <v>308170531</v>
      </c>
      <c r="D273" s="14"/>
      <c r="E273" s="14">
        <f>B273+C273-D273</f>
        <v>41786170141</v>
      </c>
      <c r="F273" s="14">
        <f>5113088237+278081176+617313273</f>
        <v>6008482686</v>
      </c>
      <c r="G273" s="14"/>
      <c r="H273" s="14">
        <f>F273+G273</f>
        <v>6008482686</v>
      </c>
      <c r="I273" s="37">
        <f>H273+16336484573</f>
        <v>22344967259</v>
      </c>
      <c r="J273" s="15">
        <f t="shared" si="45"/>
        <v>14.379117937167832</v>
      </c>
      <c r="K273" s="15">
        <f t="shared" si="46"/>
        <v>46.52544805230802</v>
      </c>
    </row>
    <row r="274" spans="1:11" ht="13.5">
      <c r="A274" s="39" t="s">
        <v>38</v>
      </c>
      <c r="B274" s="26">
        <v>5945075870</v>
      </c>
      <c r="C274" s="14"/>
      <c r="D274" s="14"/>
      <c r="E274" s="14">
        <f>B274+C274-D274</f>
        <v>5945075870</v>
      </c>
      <c r="F274" s="14"/>
      <c r="G274" s="14"/>
      <c r="H274" s="14">
        <f>F274+G274</f>
        <v>0</v>
      </c>
      <c r="I274" s="37">
        <f>H274+701736064</f>
        <v>701736064</v>
      </c>
      <c r="J274" s="15">
        <f t="shared" si="45"/>
        <v>0</v>
      </c>
      <c r="K274" s="15">
        <f t="shared" si="46"/>
        <v>88.19634804761542</v>
      </c>
    </row>
    <row r="275" spans="1:11" ht="12.75">
      <c r="A275" s="11" t="s">
        <v>13</v>
      </c>
      <c r="B275" s="12">
        <f>B259+B270+B272</f>
        <v>76993004202</v>
      </c>
      <c r="C275" s="12">
        <f>C272++C270+C259</f>
        <v>12613788966</v>
      </c>
      <c r="D275" s="12">
        <f>D272++D270+D259</f>
        <v>0</v>
      </c>
      <c r="E275" s="12">
        <f>E272+E270+E259</f>
        <v>89606793168</v>
      </c>
      <c r="F275" s="12">
        <f>F272+F270+F259</f>
        <v>8931027084</v>
      </c>
      <c r="G275" s="12">
        <f>G272+G270+G259</f>
        <v>133496822</v>
      </c>
      <c r="H275" s="12">
        <f>H272+H270+H259</f>
        <v>9064523906</v>
      </c>
      <c r="I275" s="12">
        <f>I272+I270+I259</f>
        <v>32394689396</v>
      </c>
      <c r="J275" s="13">
        <f t="shared" si="45"/>
        <v>10.115889192692462</v>
      </c>
      <c r="K275" s="13">
        <f t="shared" si="46"/>
        <v>63.84795365317386</v>
      </c>
    </row>
    <row r="276" spans="1:11" ht="12.75">
      <c r="A276" s="21"/>
      <c r="B276" s="22"/>
      <c r="C276" s="22"/>
      <c r="D276" s="22"/>
      <c r="E276" s="22"/>
      <c r="F276" s="22"/>
      <c r="G276" s="22"/>
      <c r="H276" s="22"/>
      <c r="I276" s="23"/>
      <c r="J276" s="24"/>
      <c r="K276" s="24"/>
    </row>
    <row r="277" spans="1:11" ht="12.75">
      <c r="A277" s="21"/>
      <c r="B277" s="22"/>
      <c r="C277" s="22"/>
      <c r="D277" s="22"/>
      <c r="E277" s="22"/>
      <c r="F277" s="22"/>
      <c r="G277" s="22"/>
      <c r="H277" s="22"/>
      <c r="I277" s="23"/>
      <c r="J277" s="24"/>
      <c r="K277" s="24"/>
    </row>
    <row r="278" spans="1:11" ht="12.75">
      <c r="A278" s="1"/>
      <c r="B278" s="22"/>
      <c r="C278" s="22"/>
      <c r="D278" s="22"/>
      <c r="E278" s="22"/>
      <c r="F278" s="22"/>
      <c r="G278" s="22"/>
      <c r="H278" s="22"/>
      <c r="I278" s="23"/>
      <c r="J278" s="24"/>
      <c r="K278" s="24"/>
    </row>
    <row r="279" spans="2:13" ht="12.75">
      <c r="B279" s="27"/>
      <c r="L279" s="40"/>
      <c r="M279" s="43"/>
    </row>
    <row r="280" spans="2:8" ht="12.75">
      <c r="B280" s="27"/>
      <c r="E280" s="27"/>
      <c r="F280" s="43"/>
      <c r="H280" s="8"/>
    </row>
    <row r="281" spans="1:8" ht="12.75">
      <c r="A281" s="1"/>
      <c r="B281" s="27"/>
      <c r="E281" s="27"/>
      <c r="H281" s="8"/>
    </row>
    <row r="282" spans="2:8" ht="12.75">
      <c r="B282" s="27"/>
      <c r="F282" s="1"/>
      <c r="H282" s="8"/>
    </row>
    <row r="283" spans="1:8" ht="12.75">
      <c r="A283" s="9" t="s">
        <v>52</v>
      </c>
      <c r="B283" s="27"/>
      <c r="E283" s="27"/>
      <c r="F283" s="1"/>
      <c r="H283" s="8"/>
    </row>
    <row r="284" spans="1:8" ht="12.75">
      <c r="A284" t="s">
        <v>54</v>
      </c>
      <c r="B284" s="27"/>
      <c r="E284" s="27"/>
      <c r="F284" s="1"/>
      <c r="H284" s="8"/>
    </row>
    <row r="285" spans="2:8" ht="12.75">
      <c r="B285" s="27"/>
      <c r="E285" s="27"/>
      <c r="F285" s="1"/>
      <c r="H285" s="8"/>
    </row>
    <row r="286" spans="2:8" ht="12.75">
      <c r="B286" s="27"/>
      <c r="E286" s="27"/>
      <c r="F286" s="1"/>
      <c r="H286" s="8"/>
    </row>
    <row r="287" spans="2:8" ht="12.75">
      <c r="B287" s="27"/>
      <c r="F287" s="1"/>
      <c r="H287" s="8"/>
    </row>
    <row r="288" spans="2:8" ht="13.5" thickBot="1">
      <c r="B288" s="27"/>
      <c r="F288" s="1"/>
      <c r="H288" s="8"/>
    </row>
    <row r="289" spans="1:11" ht="15.75" customHeight="1" thickBot="1">
      <c r="A289" s="16"/>
      <c r="B289" s="47" t="s">
        <v>23</v>
      </c>
      <c r="C289" s="48"/>
      <c r="D289" s="48"/>
      <c r="E289" s="48"/>
      <c r="F289" s="48"/>
      <c r="G289" s="48"/>
      <c r="H289" s="48"/>
      <c r="I289" s="48"/>
      <c r="J289" s="49"/>
      <c r="K289" s="20" t="s">
        <v>27</v>
      </c>
    </row>
    <row r="290" spans="1:11" ht="26.25" customHeight="1" thickBot="1">
      <c r="A290" s="17"/>
      <c r="B290" s="47" t="s">
        <v>24</v>
      </c>
      <c r="C290" s="48"/>
      <c r="D290" s="48"/>
      <c r="E290" s="48"/>
      <c r="F290" s="48"/>
      <c r="G290" s="48"/>
      <c r="H290" s="48"/>
      <c r="I290" s="48"/>
      <c r="J290" s="49"/>
      <c r="K290" s="18" t="s">
        <v>28</v>
      </c>
    </row>
    <row r="291" spans="1:11" ht="15.75" customHeight="1" thickBot="1">
      <c r="A291" s="17"/>
      <c r="B291" s="47" t="s">
        <v>25</v>
      </c>
      <c r="C291" s="48"/>
      <c r="D291" s="48"/>
      <c r="E291" s="48"/>
      <c r="F291" s="48"/>
      <c r="G291" s="48"/>
      <c r="H291" s="48"/>
      <c r="I291" s="48"/>
      <c r="J291" s="49"/>
      <c r="K291" s="45" t="s">
        <v>26</v>
      </c>
    </row>
    <row r="292" spans="1:11" ht="15.75" customHeight="1" thickBot="1">
      <c r="A292" s="19"/>
      <c r="B292" s="47" t="s">
        <v>51</v>
      </c>
      <c r="C292" s="48"/>
      <c r="D292" s="48"/>
      <c r="E292" s="48"/>
      <c r="F292" s="48"/>
      <c r="G292" s="48"/>
      <c r="H292" s="48"/>
      <c r="I292" s="48"/>
      <c r="J292" s="49"/>
      <c r="K292" s="46"/>
    </row>
    <row r="294" spans="1:11" ht="12.75">
      <c r="A294" s="53" t="s">
        <v>49</v>
      </c>
      <c r="B294" s="53"/>
      <c r="C294" s="53"/>
      <c r="D294" s="53"/>
      <c r="E294" s="53"/>
      <c r="F294" s="53"/>
      <c r="G294" s="53"/>
      <c r="H294" s="53"/>
      <c r="I294" s="53"/>
      <c r="J294" s="53"/>
      <c r="K294" s="30"/>
    </row>
    <row r="295" spans="1:11" ht="12.7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</row>
    <row r="297" spans="1:11" ht="13.5">
      <c r="A297" s="51" t="s">
        <v>21</v>
      </c>
      <c r="B297" s="5" t="s">
        <v>14</v>
      </c>
      <c r="C297" s="29" t="s">
        <v>31</v>
      </c>
      <c r="D297" s="5" t="s">
        <v>16</v>
      </c>
      <c r="E297" s="33" t="s">
        <v>17</v>
      </c>
      <c r="F297" s="5" t="s">
        <v>20</v>
      </c>
      <c r="G297" s="35" t="s">
        <v>0</v>
      </c>
      <c r="H297" s="6" t="s">
        <v>19</v>
      </c>
      <c r="I297" s="29" t="s">
        <v>36</v>
      </c>
      <c r="J297" s="5" t="s">
        <v>22</v>
      </c>
      <c r="K297" s="29" t="s">
        <v>22</v>
      </c>
    </row>
    <row r="298" spans="1:11" ht="13.5">
      <c r="A298" s="52"/>
      <c r="B298" s="7" t="s">
        <v>15</v>
      </c>
      <c r="C298" s="7"/>
      <c r="D298" s="7"/>
      <c r="E298" s="34" t="s">
        <v>18</v>
      </c>
      <c r="F298" s="32" t="s">
        <v>32</v>
      </c>
      <c r="G298" s="36" t="s">
        <v>32</v>
      </c>
      <c r="H298" s="32" t="s">
        <v>45</v>
      </c>
      <c r="I298" s="32"/>
      <c r="J298" s="32" t="s">
        <v>46</v>
      </c>
      <c r="K298" s="32" t="s">
        <v>35</v>
      </c>
    </row>
    <row r="299" spans="1:11" ht="13.5">
      <c r="A299" s="2"/>
      <c r="J299" s="31"/>
      <c r="K299" s="31"/>
    </row>
    <row r="300" spans="1:11" ht="13.5">
      <c r="A300" s="3" t="s">
        <v>1</v>
      </c>
      <c r="B300" s="12">
        <f>B301+B306</f>
        <v>17212816851</v>
      </c>
      <c r="C300" s="12">
        <f>C301+C306</f>
        <v>0</v>
      </c>
      <c r="D300" s="12">
        <f>D301+D306+D311</f>
        <v>0</v>
      </c>
      <c r="E300" s="12">
        <f>E301+E306</f>
        <v>17212816851</v>
      </c>
      <c r="F300" s="12">
        <f>F301+F306</f>
        <v>2538538737</v>
      </c>
      <c r="G300" s="12">
        <f>G301+G306</f>
        <v>265756546</v>
      </c>
      <c r="H300" s="12">
        <f>H301+H306</f>
        <v>2804295283</v>
      </c>
      <c r="I300" s="12">
        <f>I301+I306</f>
        <v>5606489447</v>
      </c>
      <c r="J300" s="13">
        <f aca="true" t="shared" si="51" ref="J300:J316">(H300/E300)*100</f>
        <v>16.291902175425058</v>
      </c>
      <c r="K300" s="13">
        <f aca="true" t="shared" si="52" ref="K300:K316">((E300-I300)/E300)*100</f>
        <v>67.42840236126555</v>
      </c>
    </row>
    <row r="301" spans="1:11" ht="12.75">
      <c r="A301" s="11" t="s">
        <v>2</v>
      </c>
      <c r="B301" s="12">
        <f aca="true" t="shared" si="53" ref="B301:I301">B302+B303+B305+B304</f>
        <v>16534172546</v>
      </c>
      <c r="C301" s="12">
        <f t="shared" si="53"/>
        <v>0</v>
      </c>
      <c r="D301" s="12">
        <f t="shared" si="53"/>
        <v>0</v>
      </c>
      <c r="E301" s="12">
        <f t="shared" si="53"/>
        <v>16534172546</v>
      </c>
      <c r="F301" s="12">
        <f t="shared" si="53"/>
        <v>2441844942</v>
      </c>
      <c r="G301" s="12">
        <f t="shared" si="53"/>
        <v>243595319</v>
      </c>
      <c r="H301" s="12">
        <f t="shared" si="53"/>
        <v>2685440261</v>
      </c>
      <c r="I301" s="12">
        <f t="shared" si="53"/>
        <v>5377817191</v>
      </c>
      <c r="J301" s="13">
        <f t="shared" si="51"/>
        <v>16.24175781115621</v>
      </c>
      <c r="K301" s="13">
        <f t="shared" si="52"/>
        <v>67.47453084792551</v>
      </c>
    </row>
    <row r="302" spans="1:11" ht="12.75">
      <c r="A302" s="10" t="s">
        <v>4</v>
      </c>
      <c r="B302" s="14">
        <v>13673580139</v>
      </c>
      <c r="C302" s="14"/>
      <c r="D302" s="14"/>
      <c r="E302" s="14">
        <f>B302+C302-D302</f>
        <v>13673580139</v>
      </c>
      <c r="F302" s="14">
        <f aca="true" t="shared" si="54" ref="F302:G305">F179+F220+F261</f>
        <v>1889599116</v>
      </c>
      <c r="G302" s="14">
        <f t="shared" si="54"/>
        <v>152600955</v>
      </c>
      <c r="H302" s="14">
        <f>F302+G302</f>
        <v>2042200071</v>
      </c>
      <c r="I302" s="37">
        <f>H302+1857000571</f>
        <v>3899200642</v>
      </c>
      <c r="J302" s="15">
        <f t="shared" si="51"/>
        <v>14.935372084266394</v>
      </c>
      <c r="K302" s="15">
        <f t="shared" si="52"/>
        <v>71.48368896541851</v>
      </c>
    </row>
    <row r="303" spans="1:11" ht="13.5">
      <c r="A303" s="4" t="s">
        <v>3</v>
      </c>
      <c r="B303" s="14">
        <v>607692600</v>
      </c>
      <c r="C303" s="14"/>
      <c r="D303" s="14"/>
      <c r="E303" s="14">
        <f>B303+C303-D303</f>
        <v>607692600</v>
      </c>
      <c r="F303" s="14">
        <f t="shared" si="54"/>
        <v>54950960</v>
      </c>
      <c r="G303" s="14">
        <f t="shared" si="54"/>
        <v>28141327</v>
      </c>
      <c r="H303" s="14">
        <f>F303+G303</f>
        <v>83092287</v>
      </c>
      <c r="I303" s="37">
        <f>H303+70017065</f>
        <v>153109352</v>
      </c>
      <c r="J303" s="15">
        <f t="shared" si="51"/>
        <v>13.673407739373491</v>
      </c>
      <c r="K303" s="15">
        <f t="shared" si="52"/>
        <v>74.80480229642421</v>
      </c>
    </row>
    <row r="304" spans="1:11" ht="13.5">
      <c r="A304" s="4" t="s">
        <v>41</v>
      </c>
      <c r="B304" s="14">
        <v>16300368</v>
      </c>
      <c r="C304" s="42"/>
      <c r="D304" s="14"/>
      <c r="E304" s="14">
        <f>B304+C304-D304</f>
        <v>16300368</v>
      </c>
      <c r="F304" s="14">
        <f t="shared" si="54"/>
        <v>44608593</v>
      </c>
      <c r="G304" s="14">
        <f t="shared" si="54"/>
        <v>62853037</v>
      </c>
      <c r="H304" s="14">
        <f>F304+G304</f>
        <v>107461630</v>
      </c>
      <c r="I304" s="37">
        <f>H304+76709897</f>
        <v>184171527</v>
      </c>
      <c r="J304" s="15">
        <f t="shared" si="51"/>
        <v>659.2589197986205</v>
      </c>
      <c r="K304" s="15">
        <f t="shared" si="52"/>
        <v>-1029.8611601897576</v>
      </c>
    </row>
    <row r="305" spans="1:11" ht="13.5">
      <c r="A305" s="4" t="s">
        <v>42</v>
      </c>
      <c r="B305" s="14">
        <v>2236599439</v>
      </c>
      <c r="C305" s="14"/>
      <c r="D305" s="14"/>
      <c r="E305" s="14">
        <f>B305+C305-D305</f>
        <v>2236599439</v>
      </c>
      <c r="F305" s="14">
        <f t="shared" si="54"/>
        <v>452686273</v>
      </c>
      <c r="G305" s="14">
        <f t="shared" si="54"/>
        <v>0</v>
      </c>
      <c r="H305" s="14">
        <f>F305+G305</f>
        <v>452686273</v>
      </c>
      <c r="I305" s="37">
        <f>H305+688649397</f>
        <v>1141335670</v>
      </c>
      <c r="J305" s="15">
        <f t="shared" si="51"/>
        <v>20.239935015024386</v>
      </c>
      <c r="K305" s="15">
        <f t="shared" si="52"/>
        <v>48.970045771347436</v>
      </c>
    </row>
    <row r="306" spans="1:11" ht="12.75">
      <c r="A306" s="11" t="s">
        <v>5</v>
      </c>
      <c r="B306" s="12">
        <f aca="true" t="shared" si="55" ref="B306:I306">B307+B308+B309+B310</f>
        <v>678644305</v>
      </c>
      <c r="C306" s="12">
        <f t="shared" si="55"/>
        <v>0</v>
      </c>
      <c r="D306" s="12">
        <f t="shared" si="55"/>
        <v>0</v>
      </c>
      <c r="E306" s="12">
        <f t="shared" si="55"/>
        <v>678644305</v>
      </c>
      <c r="F306" s="12">
        <f t="shared" si="55"/>
        <v>96693795</v>
      </c>
      <c r="G306" s="12">
        <f t="shared" si="55"/>
        <v>22161227</v>
      </c>
      <c r="H306" s="12">
        <f t="shared" si="55"/>
        <v>118855022</v>
      </c>
      <c r="I306" s="12">
        <f t="shared" si="55"/>
        <v>228672256</v>
      </c>
      <c r="J306" s="13">
        <f t="shared" si="51"/>
        <v>17.513596021409185</v>
      </c>
      <c r="K306" s="13">
        <f t="shared" si="52"/>
        <v>66.30454947971603</v>
      </c>
    </row>
    <row r="307" spans="1:11" ht="13.5">
      <c r="A307" s="4" t="s">
        <v>6</v>
      </c>
      <c r="B307" s="14">
        <v>51567683</v>
      </c>
      <c r="C307" s="14"/>
      <c r="D307" s="14"/>
      <c r="E307" s="14">
        <f>B307+C307-D307</f>
        <v>51567683</v>
      </c>
      <c r="F307" s="14">
        <f aca="true" t="shared" si="56" ref="F307:G310">F184+F225+F266</f>
        <v>9174305</v>
      </c>
      <c r="G307" s="14">
        <f t="shared" si="56"/>
        <v>2518578</v>
      </c>
      <c r="H307" s="14">
        <f>F307+G307</f>
        <v>11692883</v>
      </c>
      <c r="I307" s="37">
        <f>H307+9948747</f>
        <v>21641630</v>
      </c>
      <c r="J307" s="15">
        <f t="shared" si="51"/>
        <v>22.67482717809912</v>
      </c>
      <c r="K307" s="15">
        <f t="shared" si="52"/>
        <v>58.03257245434123</v>
      </c>
    </row>
    <row r="308" spans="1:11" ht="13.5">
      <c r="A308" s="4" t="s">
        <v>7</v>
      </c>
      <c r="B308" s="14">
        <v>3164642</v>
      </c>
      <c r="C308" s="14"/>
      <c r="D308" s="14"/>
      <c r="E308" s="14">
        <f>B308+C308-D308</f>
        <v>3164642</v>
      </c>
      <c r="F308" s="14">
        <f t="shared" si="56"/>
        <v>15871248</v>
      </c>
      <c r="G308" s="14">
        <f t="shared" si="56"/>
        <v>0</v>
      </c>
      <c r="H308" s="14">
        <f>F308+G308</f>
        <v>15871248</v>
      </c>
      <c r="I308" s="37">
        <f>H308+30986745</f>
        <v>46857993</v>
      </c>
      <c r="J308" s="15">
        <f t="shared" si="51"/>
        <v>501.5179600093786</v>
      </c>
      <c r="K308" s="15">
        <f t="shared" si="52"/>
        <v>-1380.6727901607828</v>
      </c>
    </row>
    <row r="309" spans="1:11" ht="13.5">
      <c r="A309" s="4" t="s">
        <v>8</v>
      </c>
      <c r="B309" s="14">
        <v>620146636</v>
      </c>
      <c r="C309" s="14"/>
      <c r="D309" s="14"/>
      <c r="E309" s="14">
        <f>B309+C309-D309</f>
        <v>620146636</v>
      </c>
      <c r="F309" s="14">
        <f t="shared" si="56"/>
        <v>70219717</v>
      </c>
      <c r="G309" s="14">
        <f t="shared" si="56"/>
        <v>19454913</v>
      </c>
      <c r="H309" s="14">
        <f>F309+G309</f>
        <v>89674630</v>
      </c>
      <c r="I309" s="37">
        <f>H309+67907301</f>
        <v>157581931</v>
      </c>
      <c r="J309" s="15">
        <f t="shared" si="51"/>
        <v>14.460230015663585</v>
      </c>
      <c r="K309" s="15">
        <f t="shared" si="52"/>
        <v>74.58956932889015</v>
      </c>
    </row>
    <row r="310" spans="1:11" ht="13.5">
      <c r="A310" s="4" t="s">
        <v>9</v>
      </c>
      <c r="B310" s="14">
        <v>3765344</v>
      </c>
      <c r="C310" s="14"/>
      <c r="D310" s="14"/>
      <c r="E310" s="14">
        <f>B310+C310-D310</f>
        <v>3765344</v>
      </c>
      <c r="F310" s="14">
        <f t="shared" si="56"/>
        <v>1428525</v>
      </c>
      <c r="G310" s="14">
        <f t="shared" si="56"/>
        <v>187736</v>
      </c>
      <c r="H310" s="14">
        <f>F310+G310</f>
        <v>1616261</v>
      </c>
      <c r="I310" s="37">
        <f>H310+974441</f>
        <v>2590702</v>
      </c>
      <c r="J310" s="15">
        <f t="shared" si="51"/>
        <v>42.924657083124416</v>
      </c>
      <c r="K310" s="15">
        <f t="shared" si="52"/>
        <v>31.196140379205723</v>
      </c>
    </row>
    <row r="311" spans="1:11" ht="12.75">
      <c r="A311" s="11" t="s">
        <v>10</v>
      </c>
      <c r="B311" s="12">
        <f aca="true" t="shared" si="57" ref="B311:I311">B312</f>
        <v>12357111871</v>
      </c>
      <c r="C311" s="12">
        <f t="shared" si="57"/>
        <v>12305618435</v>
      </c>
      <c r="D311" s="12">
        <f t="shared" si="57"/>
        <v>0</v>
      </c>
      <c r="E311" s="12">
        <f t="shared" si="57"/>
        <v>24662730306</v>
      </c>
      <c r="F311" s="12">
        <f t="shared" si="57"/>
        <v>2818114249</v>
      </c>
      <c r="G311" s="12">
        <f t="shared" si="57"/>
        <v>0</v>
      </c>
      <c r="H311" s="12">
        <f t="shared" si="57"/>
        <v>2818114249</v>
      </c>
      <c r="I311" s="12">
        <f t="shared" si="57"/>
        <v>3741496326</v>
      </c>
      <c r="J311" s="13">
        <f t="shared" si="51"/>
        <v>11.426610979541074</v>
      </c>
      <c r="K311" s="13">
        <f t="shared" si="52"/>
        <v>84.82935068592239</v>
      </c>
    </row>
    <row r="312" spans="1:11" ht="13.5">
      <c r="A312" s="4" t="s">
        <v>29</v>
      </c>
      <c r="B312" s="14">
        <v>12357111871</v>
      </c>
      <c r="C312" s="14">
        <f>1359135391+60000000+640+2118553100+30000000+8737929304</f>
        <v>12305618435</v>
      </c>
      <c r="D312" s="25"/>
      <c r="E312" s="14">
        <f>B312+C312-D312</f>
        <v>24662730306</v>
      </c>
      <c r="F312" s="14">
        <f>F189+F230+F271</f>
        <v>2818114249</v>
      </c>
      <c r="G312" s="14">
        <f>G189+G230+G271</f>
        <v>0</v>
      </c>
      <c r="H312" s="14">
        <f>F312+G312</f>
        <v>2818114249</v>
      </c>
      <c r="I312" s="37">
        <f>H312+923382077</f>
        <v>3741496326</v>
      </c>
      <c r="J312" s="15">
        <f t="shared" si="51"/>
        <v>11.426610979541074</v>
      </c>
      <c r="K312" s="15">
        <f t="shared" si="52"/>
        <v>84.82935068592239</v>
      </c>
    </row>
    <row r="313" spans="1:11" ht="12.75">
      <c r="A313" s="11" t="s">
        <v>11</v>
      </c>
      <c r="B313" s="12">
        <f aca="true" t="shared" si="58" ref="B313:I313">B314+B315</f>
        <v>47423075480</v>
      </c>
      <c r="C313" s="12">
        <f t="shared" si="58"/>
        <v>308170531</v>
      </c>
      <c r="D313" s="12">
        <f t="shared" si="58"/>
        <v>0</v>
      </c>
      <c r="E313" s="12">
        <f t="shared" si="58"/>
        <v>47731246011</v>
      </c>
      <c r="F313" s="12">
        <f t="shared" si="58"/>
        <v>11399652100</v>
      </c>
      <c r="G313" s="12">
        <f t="shared" si="58"/>
        <v>0</v>
      </c>
      <c r="H313" s="12">
        <f t="shared" si="58"/>
        <v>11399652100</v>
      </c>
      <c r="I313" s="12">
        <f t="shared" si="58"/>
        <v>23046703323</v>
      </c>
      <c r="J313" s="12">
        <f t="shared" si="51"/>
        <v>23.882997098740876</v>
      </c>
      <c r="K313" s="12">
        <f t="shared" si="52"/>
        <v>51.71568888503617</v>
      </c>
    </row>
    <row r="314" spans="1:11" ht="13.5">
      <c r="A314" s="4" t="s">
        <v>12</v>
      </c>
      <c r="B314" s="14">
        <v>41477999610</v>
      </c>
      <c r="C314" s="14">
        <v>308170531</v>
      </c>
      <c r="D314" s="14"/>
      <c r="E314" s="14">
        <f>B314+C314-D314</f>
        <v>41786170141</v>
      </c>
      <c r="F314" s="14">
        <f>F191+F232+F273</f>
        <v>11399652100</v>
      </c>
      <c r="G314" s="14">
        <f>G191+G232+G273</f>
        <v>0</v>
      </c>
      <c r="H314" s="14">
        <f>F314+G314</f>
        <v>11399652100</v>
      </c>
      <c r="I314" s="37">
        <f>H314+10945315159</f>
        <v>22344967259</v>
      </c>
      <c r="J314" s="15">
        <f t="shared" si="51"/>
        <v>27.280921083540083</v>
      </c>
      <c r="K314" s="15">
        <f t="shared" si="52"/>
        <v>46.52544805230802</v>
      </c>
    </row>
    <row r="315" spans="1:11" ht="13.5">
      <c r="A315" s="39" t="s">
        <v>38</v>
      </c>
      <c r="B315" s="26">
        <v>5945075870</v>
      </c>
      <c r="C315" s="14"/>
      <c r="D315" s="14"/>
      <c r="E315" s="14">
        <f>B315+C315-D315</f>
        <v>5945075870</v>
      </c>
      <c r="F315" s="14">
        <f>F192+F233+F274</f>
        <v>0</v>
      </c>
      <c r="G315" s="14">
        <f>G192+G233+G274</f>
        <v>0</v>
      </c>
      <c r="H315" s="14">
        <f>F315+G315</f>
        <v>0</v>
      </c>
      <c r="I315" s="37">
        <f>H315+701736064</f>
        <v>701736064</v>
      </c>
      <c r="J315" s="15">
        <f t="shared" si="51"/>
        <v>0</v>
      </c>
      <c r="K315" s="15">
        <f t="shared" si="52"/>
        <v>88.19634804761542</v>
      </c>
    </row>
    <row r="316" spans="1:11" ht="12.75">
      <c r="A316" s="11" t="s">
        <v>13</v>
      </c>
      <c r="B316" s="12">
        <f>B300+B311+B313</f>
        <v>76993004202</v>
      </c>
      <c r="C316" s="12">
        <f>C313++C311+C300</f>
        <v>12613788966</v>
      </c>
      <c r="D316" s="12">
        <f>D313++D311+D300</f>
        <v>0</v>
      </c>
      <c r="E316" s="12">
        <f>E313+E311+E300</f>
        <v>89606793168</v>
      </c>
      <c r="F316" s="12">
        <f>F313+F311+F300</f>
        <v>16756305086</v>
      </c>
      <c r="G316" s="12">
        <f>G313+G311+G300</f>
        <v>265756546</v>
      </c>
      <c r="H316" s="12">
        <f>H313+H311+H300</f>
        <v>17022061632</v>
      </c>
      <c r="I316" s="12">
        <f>I313+I311+I300</f>
        <v>32394689096</v>
      </c>
      <c r="J316" s="13">
        <f t="shared" si="51"/>
        <v>18.996396400534113</v>
      </c>
      <c r="K316" s="13">
        <f t="shared" si="52"/>
        <v>63.84795398796991</v>
      </c>
    </row>
    <row r="317" spans="1:11" ht="12.75">
      <c r="A317" s="21"/>
      <c r="B317" s="22"/>
      <c r="C317" s="22"/>
      <c r="D317" s="22"/>
      <c r="E317" s="22"/>
      <c r="F317" s="22"/>
      <c r="G317" s="22"/>
      <c r="H317" s="22"/>
      <c r="I317" s="23"/>
      <c r="J317" s="24"/>
      <c r="K317" s="24"/>
    </row>
    <row r="318" spans="1:11" ht="12.75">
      <c r="A318" s="21"/>
      <c r="B318" s="22"/>
      <c r="C318" s="22"/>
      <c r="D318" s="22"/>
      <c r="E318" s="22"/>
      <c r="F318" s="22"/>
      <c r="G318" s="22"/>
      <c r="H318" s="22"/>
      <c r="I318" s="23"/>
      <c r="J318" s="24"/>
      <c r="K318" s="24"/>
    </row>
    <row r="319" spans="2:11" ht="12.75">
      <c r="B319" s="22"/>
      <c r="C319" s="22"/>
      <c r="D319" s="22"/>
      <c r="E319" s="22"/>
      <c r="F319" s="22"/>
      <c r="G319" s="22"/>
      <c r="H319" s="22"/>
      <c r="I319" s="23"/>
      <c r="J319" s="24"/>
      <c r="K319" s="24"/>
    </row>
    <row r="320" spans="1:2" ht="12.75">
      <c r="A320" s="8"/>
      <c r="B320" s="27"/>
    </row>
    <row r="321" spans="2:5" ht="12.75">
      <c r="B321" s="27"/>
      <c r="E321" s="27"/>
    </row>
    <row r="322" spans="2:8" ht="12.75">
      <c r="B322" s="27"/>
      <c r="E322" s="27"/>
      <c r="F322" s="1"/>
      <c r="H322" s="8"/>
    </row>
    <row r="323" spans="2:8" ht="12.75">
      <c r="B323" s="27"/>
      <c r="E323" s="27"/>
      <c r="F323" s="1"/>
      <c r="H323" s="8"/>
    </row>
    <row r="324" spans="1:8" ht="12.75">
      <c r="A324" s="9" t="s">
        <v>52</v>
      </c>
      <c r="B324" s="27"/>
      <c r="E324" s="27"/>
      <c r="F324" s="1"/>
      <c r="H324" s="8"/>
    </row>
    <row r="325" spans="1:8" ht="12.75">
      <c r="A325" t="s">
        <v>54</v>
      </c>
      <c r="B325" s="27"/>
      <c r="E325" s="27"/>
      <c r="F325" s="1"/>
      <c r="H325" s="8"/>
    </row>
    <row r="326" spans="2:8" ht="12.75">
      <c r="B326" s="27"/>
      <c r="E326" s="27"/>
      <c r="F326" s="1"/>
      <c r="H326" s="8"/>
    </row>
    <row r="327" spans="2:8" ht="12.75">
      <c r="B327" s="27"/>
      <c r="E327" s="27"/>
      <c r="F327" s="1"/>
      <c r="H327" s="8"/>
    </row>
    <row r="328" spans="2:8" ht="12.75">
      <c r="B328" s="27"/>
      <c r="F328" s="1"/>
      <c r="H328" s="8"/>
    </row>
    <row r="329" spans="2:8" ht="13.5" thickBot="1">
      <c r="B329" s="27"/>
      <c r="F329" s="1"/>
      <c r="H329" s="8"/>
    </row>
    <row r="330" spans="1:11" ht="14.25" thickBot="1">
      <c r="A330" s="16"/>
      <c r="B330" s="47" t="s">
        <v>23</v>
      </c>
      <c r="C330" s="48"/>
      <c r="D330" s="48"/>
      <c r="E330" s="48"/>
      <c r="F330" s="48"/>
      <c r="G330" s="48"/>
      <c r="H330" s="48"/>
      <c r="I330" s="48"/>
      <c r="J330" s="49"/>
      <c r="K330" s="20" t="s">
        <v>27</v>
      </c>
    </row>
    <row r="331" spans="1:11" ht="27" thickBot="1">
      <c r="A331" s="17"/>
      <c r="B331" s="47" t="s">
        <v>24</v>
      </c>
      <c r="C331" s="48"/>
      <c r="D331" s="48"/>
      <c r="E331" s="48"/>
      <c r="F331" s="48"/>
      <c r="G331" s="48"/>
      <c r="H331" s="48"/>
      <c r="I331" s="48"/>
      <c r="J331" s="49"/>
      <c r="K331" s="18" t="s">
        <v>28</v>
      </c>
    </row>
    <row r="332" spans="1:11" ht="14.25" thickBot="1">
      <c r="A332" s="17"/>
      <c r="B332" s="47" t="s">
        <v>25</v>
      </c>
      <c r="C332" s="48"/>
      <c r="D332" s="48"/>
      <c r="E332" s="48"/>
      <c r="F332" s="48"/>
      <c r="G332" s="48"/>
      <c r="H332" s="48"/>
      <c r="I332" s="48"/>
      <c r="J332" s="49"/>
      <c r="K332" s="45" t="s">
        <v>26</v>
      </c>
    </row>
    <row r="333" spans="1:11" ht="14.25" thickBot="1">
      <c r="A333" s="19"/>
      <c r="B333" s="47" t="s">
        <v>51</v>
      </c>
      <c r="C333" s="48"/>
      <c r="D333" s="48"/>
      <c r="E333" s="48"/>
      <c r="F333" s="48"/>
      <c r="G333" s="48"/>
      <c r="H333" s="48"/>
      <c r="I333" s="48"/>
      <c r="J333" s="49"/>
      <c r="K333" s="46"/>
    </row>
    <row r="335" spans="1:11" ht="12.75">
      <c r="A335" s="50" t="s">
        <v>50</v>
      </c>
      <c r="B335" s="50"/>
      <c r="C335" s="50"/>
      <c r="D335" s="50"/>
      <c r="E335" s="50"/>
      <c r="F335" s="50"/>
      <c r="G335" s="50"/>
      <c r="H335" s="50"/>
      <c r="I335" s="50"/>
      <c r="J335" s="50"/>
      <c r="K335" s="30"/>
    </row>
    <row r="336" spans="1:11" ht="12.7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</row>
    <row r="338" spans="1:11" ht="13.5">
      <c r="A338" s="51" t="s">
        <v>21</v>
      </c>
      <c r="B338" s="5" t="s">
        <v>14</v>
      </c>
      <c r="C338" s="29" t="s">
        <v>31</v>
      </c>
      <c r="D338" s="5" t="s">
        <v>16</v>
      </c>
      <c r="E338" s="33" t="s">
        <v>17</v>
      </c>
      <c r="F338" s="5" t="s">
        <v>20</v>
      </c>
      <c r="G338" s="35" t="s">
        <v>0</v>
      </c>
      <c r="H338" s="6" t="s">
        <v>19</v>
      </c>
      <c r="I338" s="29" t="s">
        <v>36</v>
      </c>
      <c r="J338" s="5" t="s">
        <v>22</v>
      </c>
      <c r="K338" s="29" t="s">
        <v>22</v>
      </c>
    </row>
    <row r="339" spans="1:11" ht="13.5">
      <c r="A339" s="52"/>
      <c r="B339" s="7" t="s">
        <v>15</v>
      </c>
      <c r="C339" s="7"/>
      <c r="D339" s="7"/>
      <c r="E339" s="34" t="s">
        <v>18</v>
      </c>
      <c r="F339" s="32" t="s">
        <v>33</v>
      </c>
      <c r="G339" s="36" t="s">
        <v>33</v>
      </c>
      <c r="H339" s="32" t="s">
        <v>34</v>
      </c>
      <c r="I339" s="32"/>
      <c r="J339" s="32" t="s">
        <v>37</v>
      </c>
      <c r="K339" s="32" t="s">
        <v>35</v>
      </c>
    </row>
    <row r="340" spans="1:11" ht="13.5">
      <c r="A340" s="2"/>
      <c r="J340" s="31"/>
      <c r="K340" s="31"/>
    </row>
    <row r="341" spans="1:11" ht="13.5">
      <c r="A341" s="3" t="s">
        <v>1</v>
      </c>
      <c r="B341" s="12">
        <f>B342+B347</f>
        <v>17212816851</v>
      </c>
      <c r="C341" s="12">
        <f>C342+C347</f>
        <v>0</v>
      </c>
      <c r="D341" s="12">
        <f>D342+D347+D352</f>
        <v>0</v>
      </c>
      <c r="E341" s="12">
        <f>E342+E347</f>
        <v>17212816851</v>
      </c>
      <c r="F341" s="12">
        <f>F342+F347</f>
        <v>1161903373</v>
      </c>
      <c r="G341" s="12">
        <f>G342+G347</f>
        <v>55150976</v>
      </c>
      <c r="H341" s="12">
        <f>H342+H347</f>
        <v>1217054349</v>
      </c>
      <c r="I341" s="12">
        <f>I342+I347</f>
        <v>6823543796</v>
      </c>
      <c r="J341" s="13">
        <f aca="true" t="shared" si="59" ref="J341:J357">(H341/E341)*100</f>
        <v>7.070628587611409</v>
      </c>
      <c r="K341" s="13">
        <f aca="true" t="shared" si="60" ref="K341:K357">((E341-I341)/E341)*100</f>
        <v>60.357773773654145</v>
      </c>
    </row>
    <row r="342" spans="1:11" ht="12.75">
      <c r="A342" s="11" t="s">
        <v>2</v>
      </c>
      <c r="B342" s="12">
        <f aca="true" t="shared" si="61" ref="B342:I342">B343+B344+B346+B345</f>
        <v>16534172546</v>
      </c>
      <c r="C342" s="12">
        <f t="shared" si="61"/>
        <v>0</v>
      </c>
      <c r="D342" s="12">
        <f t="shared" si="61"/>
        <v>0</v>
      </c>
      <c r="E342" s="12">
        <f t="shared" si="61"/>
        <v>16534172546</v>
      </c>
      <c r="F342" s="12">
        <f t="shared" si="61"/>
        <v>1129323557</v>
      </c>
      <c r="G342" s="12">
        <f t="shared" si="61"/>
        <v>48025524</v>
      </c>
      <c r="H342" s="12">
        <f t="shared" si="61"/>
        <v>1177349081</v>
      </c>
      <c r="I342" s="12">
        <f t="shared" si="61"/>
        <v>6555166272</v>
      </c>
      <c r="J342" s="13">
        <f t="shared" si="59"/>
        <v>7.120701551435231</v>
      </c>
      <c r="K342" s="13">
        <f t="shared" si="60"/>
        <v>60.35382929649028</v>
      </c>
    </row>
    <row r="343" spans="1:11" ht="12.75">
      <c r="A343" s="10" t="s">
        <v>4</v>
      </c>
      <c r="B343" s="14">
        <v>13673580139</v>
      </c>
      <c r="C343" s="14"/>
      <c r="D343" s="14"/>
      <c r="E343" s="14">
        <f>B343+C343-D343</f>
        <v>13673580139</v>
      </c>
      <c r="F343" s="14">
        <v>1003944587</v>
      </c>
      <c r="G343" s="14">
        <f>6380219+13600800+10274271</f>
        <v>30255290</v>
      </c>
      <c r="H343" s="14">
        <f>F343+G343</f>
        <v>1034199877</v>
      </c>
      <c r="I343" s="37">
        <f>H343+I302</f>
        <v>4933400519</v>
      </c>
      <c r="J343" s="15">
        <f t="shared" si="59"/>
        <v>7.563490077117688</v>
      </c>
      <c r="K343" s="15">
        <f t="shared" si="60"/>
        <v>63.92019888830082</v>
      </c>
    </row>
    <row r="344" spans="1:11" ht="13.5">
      <c r="A344" s="4" t="s">
        <v>3</v>
      </c>
      <c r="B344" s="14">
        <v>607692600</v>
      </c>
      <c r="C344" s="14"/>
      <c r="D344" s="14"/>
      <c r="E344" s="14">
        <f>B344+C344-D344</f>
        <v>607692600</v>
      </c>
      <c r="F344" s="14">
        <f>11960613+13152246+474000</f>
        <v>25586859</v>
      </c>
      <c r="G344" s="14">
        <f>1500000+750000+14920234+600000</f>
        <v>17770234</v>
      </c>
      <c r="H344" s="14">
        <f>F344+G344</f>
        <v>43357093</v>
      </c>
      <c r="I344" s="37">
        <f>H344+I303</f>
        <v>196466445</v>
      </c>
      <c r="J344" s="15">
        <f t="shared" si="59"/>
        <v>7.134708074444217</v>
      </c>
      <c r="K344" s="15">
        <f t="shared" si="60"/>
        <v>67.67009422198</v>
      </c>
    </row>
    <row r="345" spans="1:11" ht="13.5">
      <c r="A345" s="4" t="s">
        <v>41</v>
      </c>
      <c r="B345" s="14">
        <v>16300368</v>
      </c>
      <c r="C345" s="42"/>
      <c r="D345" s="14"/>
      <c r="E345" s="41">
        <f>B345+C345-D345</f>
        <v>16300368</v>
      </c>
      <c r="F345" s="14">
        <f>456000+2376164</f>
        <v>2832164</v>
      </c>
      <c r="G345" s="14"/>
      <c r="H345" s="14">
        <f>F345+G345</f>
        <v>2832164</v>
      </c>
      <c r="I345" s="37">
        <f>H345+I304</f>
        <v>187003691</v>
      </c>
      <c r="J345" s="15">
        <f t="shared" si="59"/>
        <v>17.374846997319324</v>
      </c>
      <c r="K345" s="15">
        <f t="shared" si="60"/>
        <v>-1047.2360071870771</v>
      </c>
    </row>
    <row r="346" spans="1:11" ht="13.5">
      <c r="A346" s="4" t="s">
        <v>42</v>
      </c>
      <c r="B346" s="14">
        <v>2236599439</v>
      </c>
      <c r="C346" s="14"/>
      <c r="D346" s="14"/>
      <c r="E346" s="14">
        <f>B346+C346-D346</f>
        <v>2236599439</v>
      </c>
      <c r="F346" s="14">
        <v>96959947</v>
      </c>
      <c r="G346" s="14"/>
      <c r="H346" s="14">
        <f>F346+G346</f>
        <v>96959947</v>
      </c>
      <c r="I346" s="37">
        <f>H346+I305</f>
        <v>1238295617</v>
      </c>
      <c r="J346" s="15">
        <f t="shared" si="59"/>
        <v>4.335150287051467</v>
      </c>
      <c r="K346" s="15">
        <f t="shared" si="60"/>
        <v>44.634895484295974</v>
      </c>
    </row>
    <row r="347" spans="1:11" ht="12.75">
      <c r="A347" s="11" t="s">
        <v>5</v>
      </c>
      <c r="B347" s="12">
        <f aca="true" t="shared" si="62" ref="B347:I347">B348+B349+B350+B351</f>
        <v>678644305</v>
      </c>
      <c r="C347" s="12">
        <f t="shared" si="62"/>
        <v>0</v>
      </c>
      <c r="D347" s="12">
        <f t="shared" si="62"/>
        <v>0</v>
      </c>
      <c r="E347" s="12">
        <f t="shared" si="62"/>
        <v>678644305</v>
      </c>
      <c r="F347" s="12">
        <f t="shared" si="62"/>
        <v>32579816</v>
      </c>
      <c r="G347" s="12">
        <f t="shared" si="62"/>
        <v>7125452</v>
      </c>
      <c r="H347" s="12">
        <f t="shared" si="62"/>
        <v>39705268</v>
      </c>
      <c r="I347" s="12">
        <f t="shared" si="62"/>
        <v>268377524</v>
      </c>
      <c r="J347" s="13">
        <f t="shared" si="59"/>
        <v>5.8506743086866395</v>
      </c>
      <c r="K347" s="13">
        <f t="shared" si="60"/>
        <v>60.453875171029395</v>
      </c>
    </row>
    <row r="348" spans="1:11" ht="13.5">
      <c r="A348" s="4" t="s">
        <v>6</v>
      </c>
      <c r="B348" s="14">
        <v>51567683</v>
      </c>
      <c r="C348" s="14"/>
      <c r="D348" s="14"/>
      <c r="E348" s="14">
        <f>B348+C348-D348</f>
        <v>51567683</v>
      </c>
      <c r="F348" s="14">
        <v>3193453</v>
      </c>
      <c r="G348" s="14">
        <v>1045172</v>
      </c>
      <c r="H348" s="14">
        <f>F348+G348</f>
        <v>4238625</v>
      </c>
      <c r="I348" s="37">
        <f>H348+I307</f>
        <v>25880255</v>
      </c>
      <c r="J348" s="15">
        <f t="shared" si="59"/>
        <v>8.21953741842541</v>
      </c>
      <c r="K348" s="15">
        <f t="shared" si="60"/>
        <v>49.81303503591581</v>
      </c>
    </row>
    <row r="349" spans="1:11" ht="13.5">
      <c r="A349" s="4" t="s">
        <v>7</v>
      </c>
      <c r="B349" s="14">
        <v>3164642</v>
      </c>
      <c r="C349" s="14"/>
      <c r="D349" s="14"/>
      <c r="E349" s="14">
        <f>B349+C349-D349</f>
        <v>3164642</v>
      </c>
      <c r="F349" s="14">
        <v>6792287</v>
      </c>
      <c r="G349" s="14"/>
      <c r="H349" s="14">
        <f>F349+G349</f>
        <v>6792287</v>
      </c>
      <c r="I349" s="37">
        <f>H349+I308</f>
        <v>53650280</v>
      </c>
      <c r="J349" s="15">
        <f t="shared" si="59"/>
        <v>214.6305016491597</v>
      </c>
      <c r="K349" s="15">
        <f t="shared" si="60"/>
        <v>-1595.3032918099425</v>
      </c>
    </row>
    <row r="350" spans="1:11" ht="13.5">
      <c r="A350" s="4" t="s">
        <v>8</v>
      </c>
      <c r="B350" s="14">
        <v>620146636</v>
      </c>
      <c r="C350" s="14"/>
      <c r="D350" s="14"/>
      <c r="E350" s="14">
        <f>B350+C350-D350</f>
        <v>620146636</v>
      </c>
      <c r="F350" s="14">
        <f>2756707+18652390+434077</f>
        <v>21843174</v>
      </c>
      <c r="G350" s="14">
        <v>6080280</v>
      </c>
      <c r="H350" s="14">
        <f>F350+G350</f>
        <v>27923454</v>
      </c>
      <c r="I350" s="37">
        <f>H350+I309</f>
        <v>185505385</v>
      </c>
      <c r="J350" s="15">
        <f t="shared" si="59"/>
        <v>4.502717966851956</v>
      </c>
      <c r="K350" s="15">
        <f t="shared" si="60"/>
        <v>70.08685136203819</v>
      </c>
    </row>
    <row r="351" spans="1:11" ht="13.5">
      <c r="A351" s="4" t="s">
        <v>9</v>
      </c>
      <c r="B351" s="14">
        <v>3765344</v>
      </c>
      <c r="C351" s="14"/>
      <c r="D351" s="14"/>
      <c r="E351" s="14">
        <f>B351+C351-D351</f>
        <v>3765344</v>
      </c>
      <c r="F351" s="14">
        <v>750902</v>
      </c>
      <c r="G351" s="14"/>
      <c r="H351" s="14">
        <f>F351+G351</f>
        <v>750902</v>
      </c>
      <c r="I351" s="37">
        <f>H351+I310</f>
        <v>3341604</v>
      </c>
      <c r="J351" s="15">
        <f t="shared" si="59"/>
        <v>19.94245412902513</v>
      </c>
      <c r="K351" s="15">
        <f t="shared" si="60"/>
        <v>11.253686250180595</v>
      </c>
    </row>
    <row r="352" spans="1:11" ht="12.75">
      <c r="A352" s="11" t="s">
        <v>10</v>
      </c>
      <c r="B352" s="12">
        <f>B353</f>
        <v>12357111871</v>
      </c>
      <c r="C352" s="12">
        <f>C353</f>
        <v>17057214823</v>
      </c>
      <c r="D352" s="12">
        <f>D353</f>
        <v>0</v>
      </c>
      <c r="E352" s="12">
        <f>E353</f>
        <v>29414326694</v>
      </c>
      <c r="F352" s="12">
        <f>F353</f>
        <v>184571910</v>
      </c>
      <c r="G352" s="12"/>
      <c r="H352" s="12">
        <f>H353</f>
        <v>184571910</v>
      </c>
      <c r="I352" s="12">
        <f>I353</f>
        <v>3926068236</v>
      </c>
      <c r="J352" s="13">
        <f t="shared" si="59"/>
        <v>0.6274898348689701</v>
      </c>
      <c r="K352" s="13">
        <f t="shared" si="60"/>
        <v>86.65253066356658</v>
      </c>
    </row>
    <row r="353" spans="1:11" ht="13.5">
      <c r="A353" s="4" t="s">
        <v>29</v>
      </c>
      <c r="B353" s="14">
        <v>12357111871</v>
      </c>
      <c r="C353" s="14">
        <f>1359135391+60000000+640+2118553100+4602096388+32900000+116600000+30000000+8737929304</f>
        <v>17057214823</v>
      </c>
      <c r="D353" s="25"/>
      <c r="E353" s="14">
        <f>B353+C353-D353</f>
        <v>29414326694</v>
      </c>
      <c r="F353" s="14">
        <v>184571910</v>
      </c>
      <c r="G353" s="14"/>
      <c r="H353" s="14">
        <f>F353+G353</f>
        <v>184571910</v>
      </c>
      <c r="I353" s="37">
        <f>H353+I312</f>
        <v>3926068236</v>
      </c>
      <c r="J353" s="15">
        <f t="shared" si="59"/>
        <v>0.6274898348689701</v>
      </c>
      <c r="K353" s="15">
        <f t="shared" si="60"/>
        <v>86.65253066356658</v>
      </c>
    </row>
    <row r="354" spans="1:11" ht="12.75">
      <c r="A354" s="11" t="s">
        <v>11</v>
      </c>
      <c r="B354" s="12">
        <f aca="true" t="shared" si="63" ref="B354:I354">B355+B356</f>
        <v>47423075480</v>
      </c>
      <c r="C354" s="12">
        <f t="shared" si="63"/>
        <v>308170531</v>
      </c>
      <c r="D354" s="12">
        <f t="shared" si="63"/>
        <v>0</v>
      </c>
      <c r="E354" s="12">
        <f t="shared" si="63"/>
        <v>47731246011</v>
      </c>
      <c r="F354" s="12">
        <f t="shared" si="63"/>
        <v>2717315106</v>
      </c>
      <c r="G354" s="12">
        <f t="shared" si="63"/>
        <v>0</v>
      </c>
      <c r="H354" s="12">
        <f t="shared" si="63"/>
        <v>2717315106</v>
      </c>
      <c r="I354" s="12">
        <f t="shared" si="63"/>
        <v>25764018429</v>
      </c>
      <c r="J354" s="12">
        <f t="shared" si="59"/>
        <v>5.692948190319138</v>
      </c>
      <c r="K354" s="12">
        <f t="shared" si="60"/>
        <v>46.022740694717044</v>
      </c>
    </row>
    <row r="355" spans="1:11" ht="13.5">
      <c r="A355" s="4" t="s">
        <v>12</v>
      </c>
      <c r="B355" s="14">
        <v>41477999610</v>
      </c>
      <c r="C355" s="14">
        <v>308170531</v>
      </c>
      <c r="D355" s="14"/>
      <c r="E355" s="14">
        <f>B355+C355-D355</f>
        <v>41786170141</v>
      </c>
      <c r="F355" s="14">
        <v>2717315106</v>
      </c>
      <c r="G355" s="14"/>
      <c r="H355" s="14">
        <f>F355+G355</f>
        <v>2717315106</v>
      </c>
      <c r="I355" s="37">
        <f>H355+I314</f>
        <v>25062282365</v>
      </c>
      <c r="J355" s="15">
        <f t="shared" si="59"/>
        <v>6.502905379533236</v>
      </c>
      <c r="K355" s="15">
        <f t="shared" si="60"/>
        <v>40.02254267277478</v>
      </c>
    </row>
    <row r="356" spans="1:11" ht="13.5">
      <c r="A356" s="39" t="s">
        <v>38</v>
      </c>
      <c r="B356" s="26">
        <v>5945075870</v>
      </c>
      <c r="C356" s="14"/>
      <c r="D356" s="14"/>
      <c r="E356" s="14">
        <f>B356+C356-D356</f>
        <v>5945075870</v>
      </c>
      <c r="F356" s="14"/>
      <c r="G356" s="14"/>
      <c r="H356" s="14">
        <f>F356+G356</f>
        <v>0</v>
      </c>
      <c r="I356" s="37">
        <f>H356+I315</f>
        <v>701736064</v>
      </c>
      <c r="J356" s="15">
        <f t="shared" si="59"/>
        <v>0</v>
      </c>
      <c r="K356" s="15">
        <f t="shared" si="60"/>
        <v>88.19634804761542</v>
      </c>
    </row>
    <row r="357" spans="1:11" ht="12.75">
      <c r="A357" s="11" t="s">
        <v>13</v>
      </c>
      <c r="B357" s="12">
        <f>B341+B352+B354</f>
        <v>76993004202</v>
      </c>
      <c r="C357" s="12">
        <f>C354++C352+C341</f>
        <v>17365385354</v>
      </c>
      <c r="D357" s="12">
        <f>D354++D352+D341</f>
        <v>0</v>
      </c>
      <c r="E357" s="12">
        <f>E354+E352+E341</f>
        <v>94358389556</v>
      </c>
      <c r="F357" s="12">
        <f>F354+F352+F341</f>
        <v>4063790389</v>
      </c>
      <c r="G357" s="12">
        <f>G354+G352+G341</f>
        <v>55150976</v>
      </c>
      <c r="H357" s="12">
        <f>H354+H352+H341</f>
        <v>4118941365</v>
      </c>
      <c r="I357" s="12">
        <f>I354+I352+I341</f>
        <v>36513630461</v>
      </c>
      <c r="J357" s="13">
        <f t="shared" si="59"/>
        <v>4.365209478861954</v>
      </c>
      <c r="K357" s="13">
        <f t="shared" si="60"/>
        <v>61.30324962855601</v>
      </c>
    </row>
    <row r="358" spans="1:11" ht="12.75">
      <c r="A358" s="21"/>
      <c r="B358" s="22"/>
      <c r="C358" s="22"/>
      <c r="D358" s="22"/>
      <c r="E358" s="22"/>
      <c r="F358" s="22"/>
      <c r="G358" s="22"/>
      <c r="H358" s="22"/>
      <c r="I358" s="23"/>
      <c r="J358" s="24"/>
      <c r="K358" s="24"/>
    </row>
    <row r="359" spans="1:11" ht="12.75">
      <c r="A359" s="21"/>
      <c r="B359" s="22"/>
      <c r="C359" s="22"/>
      <c r="D359" s="22"/>
      <c r="E359" s="22"/>
      <c r="F359" s="22"/>
      <c r="G359" s="22"/>
      <c r="H359" s="22"/>
      <c r="I359" s="23"/>
      <c r="J359" s="24"/>
      <c r="K359" s="24"/>
    </row>
    <row r="360" spans="1:11" ht="12.75">
      <c r="A360" s="1"/>
      <c r="B360" s="22"/>
      <c r="C360" s="22"/>
      <c r="D360" s="22"/>
      <c r="E360" s="22"/>
      <c r="F360" s="22"/>
      <c r="G360" s="22"/>
      <c r="H360" s="22"/>
      <c r="I360" s="23"/>
      <c r="J360" s="24"/>
      <c r="K360" s="24"/>
    </row>
    <row r="361" ht="12.75">
      <c r="B361" s="27"/>
    </row>
    <row r="362" spans="2:8" ht="12.75">
      <c r="B362" s="27"/>
      <c r="E362" s="27"/>
      <c r="F362" s="43"/>
      <c r="H362" s="8"/>
    </row>
    <row r="363" spans="1:8" ht="12.75">
      <c r="A363" s="1"/>
      <c r="B363" s="27"/>
      <c r="E363" s="27"/>
      <c r="H363" s="8"/>
    </row>
    <row r="364" spans="2:8" ht="12.75">
      <c r="B364" s="27"/>
      <c r="F364" s="1"/>
      <c r="H364" s="8"/>
    </row>
    <row r="365" spans="1:8" ht="12.75">
      <c r="A365" s="9" t="s">
        <v>52</v>
      </c>
      <c r="B365" s="27"/>
      <c r="E365" s="27"/>
      <c r="F365" s="1"/>
      <c r="H365" s="8"/>
    </row>
    <row r="366" spans="1:8" ht="12.75">
      <c r="A366" s="38" t="s">
        <v>55</v>
      </c>
      <c r="B366" s="27"/>
      <c r="E366" s="27"/>
      <c r="F366" s="1"/>
      <c r="H366" s="8"/>
    </row>
    <row r="367" spans="2:8" ht="12.75">
      <c r="B367" s="27"/>
      <c r="E367" s="27"/>
      <c r="F367" s="1"/>
      <c r="H367" s="8"/>
    </row>
    <row r="368" spans="2:8" ht="12.75">
      <c r="B368" s="27"/>
      <c r="E368" s="27"/>
      <c r="F368" s="1"/>
      <c r="H368" s="8"/>
    </row>
    <row r="369" spans="2:8" ht="12.75">
      <c r="B369" s="27"/>
      <c r="F369" s="1"/>
      <c r="H369" s="8"/>
    </row>
    <row r="370" spans="2:8" ht="12.75">
      <c r="B370" s="27"/>
      <c r="F370" s="1"/>
      <c r="H370" s="8"/>
    </row>
  </sheetData>
  <sheetProtection/>
  <mergeCells count="63">
    <mergeCell ref="K250:K251"/>
    <mergeCell ref="B251:J251"/>
    <mergeCell ref="A253:J253"/>
    <mergeCell ref="A256:A257"/>
    <mergeCell ref="B289:J289"/>
    <mergeCell ref="B1:J1"/>
    <mergeCell ref="B2:J2"/>
    <mergeCell ref="B3:J3"/>
    <mergeCell ref="B4:J4"/>
    <mergeCell ref="B86:J86"/>
    <mergeCell ref="K3:K4"/>
    <mergeCell ref="A6:J6"/>
    <mergeCell ref="K45:K46"/>
    <mergeCell ref="K86:K87"/>
    <mergeCell ref="B87:J87"/>
    <mergeCell ref="A9:A10"/>
    <mergeCell ref="A48:J48"/>
    <mergeCell ref="A51:A52"/>
    <mergeCell ref="B84:J84"/>
    <mergeCell ref="B85:J85"/>
    <mergeCell ref="B43:J43"/>
    <mergeCell ref="B44:J44"/>
    <mergeCell ref="B45:J45"/>
    <mergeCell ref="B46:J46"/>
    <mergeCell ref="A89:J89"/>
    <mergeCell ref="A92:A93"/>
    <mergeCell ref="B125:J125"/>
    <mergeCell ref="A133:A134"/>
    <mergeCell ref="B126:J126"/>
    <mergeCell ref="B127:J127"/>
    <mergeCell ref="A338:A339"/>
    <mergeCell ref="B332:J332"/>
    <mergeCell ref="K127:K128"/>
    <mergeCell ref="B128:J128"/>
    <mergeCell ref="A130:J130"/>
    <mergeCell ref="B207:J207"/>
    <mergeCell ref="B208:J208"/>
    <mergeCell ref="A171:J171"/>
    <mergeCell ref="A174:A175"/>
    <mergeCell ref="B166:J166"/>
    <mergeCell ref="B210:J210"/>
    <mergeCell ref="A212:J212"/>
    <mergeCell ref="A215:A216"/>
    <mergeCell ref="B248:J248"/>
    <mergeCell ref="B249:J249"/>
    <mergeCell ref="B250:J250"/>
    <mergeCell ref="B167:J167"/>
    <mergeCell ref="B168:J168"/>
    <mergeCell ref="K168:K169"/>
    <mergeCell ref="B169:J169"/>
    <mergeCell ref="B209:J209"/>
    <mergeCell ref="K209:K210"/>
    <mergeCell ref="K332:K333"/>
    <mergeCell ref="B333:J333"/>
    <mergeCell ref="A335:J335"/>
    <mergeCell ref="A297:A298"/>
    <mergeCell ref="B290:J290"/>
    <mergeCell ref="B291:J291"/>
    <mergeCell ref="B330:J330"/>
    <mergeCell ref="B331:J331"/>
    <mergeCell ref="K291:K292"/>
    <mergeCell ref="B292:J292"/>
    <mergeCell ref="A294:J294"/>
  </mergeCells>
  <printOptions horizontalCentered="1"/>
  <pageMargins left="1.1023622047244095" right="0.6299212598425197" top="0.7480314960629921" bottom="0.7480314960629921" header="0.31496062992125984" footer="0.31496062992125984"/>
  <pageSetup horizontalDpi="600" verticalDpi="600" orientation="landscape" paperSize="5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C19" sqref="C19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5" sqref="M2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queta</dc:creator>
  <cp:keywords/>
  <dc:description/>
  <cp:lastModifiedBy>queta</cp:lastModifiedBy>
  <cp:lastPrinted>2014-09-18T15:53:08Z</cp:lastPrinted>
  <dcterms:created xsi:type="dcterms:W3CDTF">2007-02-21T16:39:09Z</dcterms:created>
  <dcterms:modified xsi:type="dcterms:W3CDTF">2014-09-23T17:03:54Z</dcterms:modified>
  <cp:category/>
  <cp:version/>
  <cp:contentType/>
  <cp:contentStatus/>
</cp:coreProperties>
</file>